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ка\ДИПЛОМ\"/>
    </mc:Choice>
  </mc:AlternateContent>
  <xr:revisionPtr revIDLastSave="0" documentId="13_ncr:1_{C68BFE6F-5730-42F5-868B-3A0A8FFF417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fit and Loss" sheetId="1" r:id="rId1"/>
  </sheets>
  <calcPr calcId="191029"/>
</workbook>
</file>

<file path=xl/calcChain.xml><?xml version="1.0" encoding="utf-8"?>
<calcChain xmlns="http://schemas.openxmlformats.org/spreadsheetml/2006/main">
  <c r="L36" i="1" l="1"/>
  <c r="M28" i="1"/>
  <c r="M27" i="1"/>
  <c r="N27" i="1"/>
  <c r="I11" i="1" l="1"/>
  <c r="N10" i="1"/>
  <c r="N363" i="1" l="1"/>
  <c r="K362" i="1" l="1"/>
  <c r="J362" i="1"/>
  <c r="G362" i="1"/>
  <c r="E362" i="1"/>
  <c r="D362" i="1"/>
  <c r="C362" i="1"/>
  <c r="N362" i="1" s="1"/>
  <c r="M361" i="1"/>
  <c r="L361" i="1"/>
  <c r="K361" i="1"/>
  <c r="J361" i="1"/>
  <c r="I361" i="1"/>
  <c r="H361" i="1"/>
  <c r="G361" i="1"/>
  <c r="F361" i="1"/>
  <c r="E361" i="1"/>
  <c r="D361" i="1"/>
  <c r="C361" i="1"/>
  <c r="B361" i="1"/>
  <c r="N361" i="1" s="1"/>
  <c r="L360" i="1"/>
  <c r="K360" i="1"/>
  <c r="J360" i="1"/>
  <c r="I360" i="1"/>
  <c r="H360" i="1"/>
  <c r="D360" i="1"/>
  <c r="C360" i="1"/>
  <c r="B360" i="1"/>
  <c r="M359" i="1"/>
  <c r="F359" i="1"/>
  <c r="E359" i="1"/>
  <c r="M358" i="1"/>
  <c r="G358" i="1"/>
  <c r="N358" i="1" s="1"/>
  <c r="E358" i="1"/>
  <c r="M357" i="1"/>
  <c r="E357" i="1"/>
  <c r="M356" i="1"/>
  <c r="M360" i="1" s="1"/>
  <c r="E356" i="1"/>
  <c r="N356" i="1" s="1"/>
  <c r="N355" i="1"/>
  <c r="C354" i="1"/>
  <c r="C363" i="1" s="1"/>
  <c r="H353" i="1"/>
  <c r="E353" i="1"/>
  <c r="D353" i="1"/>
  <c r="B353" i="1"/>
  <c r="N353" i="1" s="1"/>
  <c r="M352" i="1"/>
  <c r="N352" i="1" s="1"/>
  <c r="E352" i="1"/>
  <c r="C351" i="1"/>
  <c r="B351" i="1"/>
  <c r="N351" i="1" s="1"/>
  <c r="L350" i="1"/>
  <c r="K350" i="1"/>
  <c r="J350" i="1"/>
  <c r="I350" i="1"/>
  <c r="H350" i="1"/>
  <c r="G350" i="1"/>
  <c r="F350" i="1"/>
  <c r="E350" i="1"/>
  <c r="D350" i="1"/>
  <c r="C350" i="1"/>
  <c r="B350" i="1"/>
  <c r="N350" i="1" s="1"/>
  <c r="M349" i="1"/>
  <c r="L349" i="1"/>
  <c r="K349" i="1"/>
  <c r="J349" i="1"/>
  <c r="I349" i="1"/>
  <c r="H349" i="1"/>
  <c r="G349" i="1"/>
  <c r="F349" i="1"/>
  <c r="E349" i="1"/>
  <c r="D349" i="1"/>
  <c r="C349" i="1"/>
  <c r="B349" i="1"/>
  <c r="N349" i="1" s="1"/>
  <c r="M348" i="1"/>
  <c r="L348" i="1"/>
  <c r="K348" i="1"/>
  <c r="J348" i="1"/>
  <c r="I348" i="1"/>
  <c r="H348" i="1"/>
  <c r="G348" i="1"/>
  <c r="F348" i="1"/>
  <c r="E348" i="1"/>
  <c r="D348" i="1"/>
  <c r="C348" i="1"/>
  <c r="B348" i="1"/>
  <c r="N348" i="1" s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N346" i="1" s="1"/>
  <c r="M345" i="1"/>
  <c r="L345" i="1"/>
  <c r="K345" i="1"/>
  <c r="J345" i="1"/>
  <c r="I345" i="1"/>
  <c r="H345" i="1"/>
  <c r="G345" i="1"/>
  <c r="F345" i="1"/>
  <c r="E345" i="1"/>
  <c r="D345" i="1"/>
  <c r="C345" i="1"/>
  <c r="B345" i="1"/>
  <c r="N345" i="1" s="1"/>
  <c r="M344" i="1"/>
  <c r="K344" i="1"/>
  <c r="J344" i="1"/>
  <c r="H344" i="1"/>
  <c r="F344" i="1"/>
  <c r="E344" i="1"/>
  <c r="C344" i="1"/>
  <c r="B344" i="1"/>
  <c r="N344" i="1" s="1"/>
  <c r="M343" i="1"/>
  <c r="L343" i="1"/>
  <c r="K343" i="1"/>
  <c r="I343" i="1"/>
  <c r="H343" i="1"/>
  <c r="F343" i="1"/>
  <c r="C343" i="1"/>
  <c r="B343" i="1"/>
  <c r="N343" i="1" s="1"/>
  <c r="M342" i="1"/>
  <c r="L342" i="1"/>
  <c r="K342" i="1"/>
  <c r="J342" i="1"/>
  <c r="I342" i="1"/>
  <c r="H342" i="1"/>
  <c r="G342" i="1"/>
  <c r="F342" i="1"/>
  <c r="E342" i="1"/>
  <c r="D342" i="1"/>
  <c r="C342" i="1"/>
  <c r="B342" i="1"/>
  <c r="N342" i="1" s="1"/>
  <c r="I341" i="1"/>
  <c r="D341" i="1"/>
  <c r="N341" i="1" s="1"/>
  <c r="M340" i="1"/>
  <c r="L340" i="1"/>
  <c r="K340" i="1"/>
  <c r="J340" i="1"/>
  <c r="I340" i="1"/>
  <c r="H340" i="1"/>
  <c r="G340" i="1"/>
  <c r="F340" i="1"/>
  <c r="E340" i="1"/>
  <c r="D340" i="1"/>
  <c r="C340" i="1"/>
  <c r="B340" i="1"/>
  <c r="N340" i="1" s="1"/>
  <c r="I339" i="1"/>
  <c r="D339" i="1"/>
  <c r="N339" i="1" s="1"/>
  <c r="M338" i="1"/>
  <c r="L338" i="1"/>
  <c r="K338" i="1"/>
  <c r="J338" i="1"/>
  <c r="I338" i="1"/>
  <c r="H338" i="1"/>
  <c r="G338" i="1"/>
  <c r="F338" i="1"/>
  <c r="E338" i="1"/>
  <c r="D338" i="1"/>
  <c r="C338" i="1"/>
  <c r="B338" i="1"/>
  <c r="N338" i="1" s="1"/>
  <c r="M337" i="1"/>
  <c r="L337" i="1"/>
  <c r="K337" i="1"/>
  <c r="J337" i="1"/>
  <c r="I337" i="1"/>
  <c r="H337" i="1"/>
  <c r="G337" i="1"/>
  <c r="F337" i="1"/>
  <c r="E337" i="1"/>
  <c r="D337" i="1"/>
  <c r="C337" i="1"/>
  <c r="B337" i="1"/>
  <c r="N337" i="1" s="1"/>
  <c r="M336" i="1"/>
  <c r="L336" i="1"/>
  <c r="K336" i="1"/>
  <c r="J336" i="1"/>
  <c r="I336" i="1"/>
  <c r="H336" i="1"/>
  <c r="G336" i="1"/>
  <c r="F336" i="1"/>
  <c r="E336" i="1"/>
  <c r="D336" i="1"/>
  <c r="C336" i="1"/>
  <c r="B336" i="1"/>
  <c r="N336" i="1" s="1"/>
  <c r="M335" i="1"/>
  <c r="L335" i="1"/>
  <c r="K335" i="1"/>
  <c r="J335" i="1"/>
  <c r="I335" i="1"/>
  <c r="H335" i="1"/>
  <c r="G335" i="1"/>
  <c r="F335" i="1"/>
  <c r="E335" i="1"/>
  <c r="D335" i="1"/>
  <c r="C335" i="1"/>
  <c r="B335" i="1"/>
  <c r="I334" i="1"/>
  <c r="H334" i="1"/>
  <c r="G334" i="1"/>
  <c r="F334" i="1"/>
  <c r="E334" i="1"/>
  <c r="D334" i="1"/>
  <c r="C334" i="1"/>
  <c r="B334" i="1"/>
  <c r="N334" i="1" s="1"/>
  <c r="I333" i="1"/>
  <c r="D333" i="1"/>
  <c r="N333" i="1" s="1"/>
  <c r="M332" i="1"/>
  <c r="L332" i="1"/>
  <c r="K332" i="1"/>
  <c r="J332" i="1"/>
  <c r="I332" i="1"/>
  <c r="H332" i="1"/>
  <c r="G332" i="1"/>
  <c r="F332" i="1"/>
  <c r="E332" i="1"/>
  <c r="D332" i="1"/>
  <c r="C332" i="1"/>
  <c r="B332" i="1"/>
  <c r="N332" i="1" s="1"/>
  <c r="M331" i="1"/>
  <c r="L331" i="1"/>
  <c r="K331" i="1"/>
  <c r="K354" i="1" s="1"/>
  <c r="J331" i="1"/>
  <c r="I331" i="1"/>
  <c r="H331" i="1"/>
  <c r="G331" i="1"/>
  <c r="F331" i="1"/>
  <c r="E331" i="1"/>
  <c r="D331" i="1"/>
  <c r="C331" i="1"/>
  <c r="B331" i="1"/>
  <c r="N331" i="1" s="1"/>
  <c r="M330" i="1"/>
  <c r="L330" i="1"/>
  <c r="K330" i="1"/>
  <c r="J330" i="1"/>
  <c r="I330" i="1"/>
  <c r="H330" i="1"/>
  <c r="G330" i="1"/>
  <c r="F330" i="1"/>
  <c r="E330" i="1"/>
  <c r="D330" i="1"/>
  <c r="C330" i="1"/>
  <c r="B330" i="1"/>
  <c r="N330" i="1" s="1"/>
  <c r="M329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I328" i="1"/>
  <c r="G328" i="1"/>
  <c r="G354" i="1" s="1"/>
  <c r="E328" i="1"/>
  <c r="C328" i="1"/>
  <c r="B328" i="1"/>
  <c r="M327" i="1"/>
  <c r="L327" i="1"/>
  <c r="K327" i="1"/>
  <c r="I327" i="1"/>
  <c r="H327" i="1"/>
  <c r="H354" i="1" s="1"/>
  <c r="H363" i="1" s="1"/>
  <c r="D327" i="1"/>
  <c r="C327" i="1"/>
  <c r="B327" i="1"/>
  <c r="N327" i="1" s="1"/>
  <c r="L326" i="1"/>
  <c r="L354" i="1" s="1"/>
  <c r="L363" i="1" s="1"/>
  <c r="K326" i="1"/>
  <c r="I326" i="1"/>
  <c r="E326" i="1"/>
  <c r="D326" i="1"/>
  <c r="D354" i="1" s="1"/>
  <c r="D363" i="1" s="1"/>
  <c r="C326" i="1"/>
  <c r="B326" i="1"/>
  <c r="I325" i="1"/>
  <c r="N324" i="1"/>
  <c r="L322" i="1"/>
  <c r="L364" i="1" s="1"/>
  <c r="K322" i="1"/>
  <c r="J322" i="1"/>
  <c r="G322" i="1"/>
  <c r="F322" i="1"/>
  <c r="B322" i="1"/>
  <c r="M321" i="1"/>
  <c r="M322" i="1" s="1"/>
  <c r="I321" i="1"/>
  <c r="I322" i="1" s="1"/>
  <c r="H321" i="1"/>
  <c r="H322" i="1" s="1"/>
  <c r="H364" i="1" s="1"/>
  <c r="G321" i="1"/>
  <c r="F321" i="1"/>
  <c r="E321" i="1"/>
  <c r="E322" i="1" s="1"/>
  <c r="D321" i="1"/>
  <c r="D322" i="1" s="1"/>
  <c r="D364" i="1" s="1"/>
  <c r="C321" i="1"/>
  <c r="C322" i="1" s="1"/>
  <c r="B321" i="1"/>
  <c r="L317" i="1"/>
  <c r="J317" i="1"/>
  <c r="I317" i="1"/>
  <c r="G317" i="1"/>
  <c r="E317" i="1"/>
  <c r="D317" i="1"/>
  <c r="C317" i="1"/>
  <c r="B317" i="1"/>
  <c r="N317" i="1" s="1"/>
  <c r="N316" i="1"/>
  <c r="G316" i="1"/>
  <c r="M315" i="1"/>
  <c r="I315" i="1"/>
  <c r="F315" i="1"/>
  <c r="B315" i="1"/>
  <c r="L314" i="1"/>
  <c r="K314" i="1"/>
  <c r="J314" i="1"/>
  <c r="M313" i="1"/>
  <c r="L313" i="1"/>
  <c r="L315" i="1" s="1"/>
  <c r="K313" i="1"/>
  <c r="K315" i="1" s="1"/>
  <c r="J313" i="1"/>
  <c r="H313" i="1"/>
  <c r="H315" i="1" s="1"/>
  <c r="G313" i="1"/>
  <c r="G315" i="1" s="1"/>
  <c r="F313" i="1"/>
  <c r="E313" i="1"/>
  <c r="E315" i="1" s="1"/>
  <c r="D313" i="1"/>
  <c r="D315" i="1" s="1"/>
  <c r="C313" i="1"/>
  <c r="C315" i="1" s="1"/>
  <c r="B313" i="1"/>
  <c r="N313" i="1" s="1"/>
  <c r="L311" i="1"/>
  <c r="H311" i="1"/>
  <c r="G311" i="1"/>
  <c r="D311" i="1"/>
  <c r="C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E309" i="1"/>
  <c r="N309" i="1" s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N308" i="1" s="1"/>
  <c r="M307" i="1"/>
  <c r="L307" i="1"/>
  <c r="K307" i="1"/>
  <c r="K311" i="1" s="1"/>
  <c r="H307" i="1"/>
  <c r="G307" i="1"/>
  <c r="F307" i="1"/>
  <c r="E307" i="1"/>
  <c r="D307" i="1"/>
  <c r="N307" i="1" s="1"/>
  <c r="C307" i="1"/>
  <c r="B307" i="1"/>
  <c r="N306" i="1"/>
  <c r="J306" i="1"/>
  <c r="J311" i="1" s="1"/>
  <c r="L305" i="1"/>
  <c r="D305" i="1"/>
  <c r="H304" i="1"/>
  <c r="N303" i="1"/>
  <c r="C303" i="1"/>
  <c r="E302" i="1"/>
  <c r="N302" i="1" s="1"/>
  <c r="M301" i="1"/>
  <c r="M305" i="1" s="1"/>
  <c r="L301" i="1"/>
  <c r="K301" i="1"/>
  <c r="K305" i="1" s="1"/>
  <c r="J301" i="1"/>
  <c r="J305" i="1" s="1"/>
  <c r="I301" i="1"/>
  <c r="I305" i="1" s="1"/>
  <c r="H301" i="1"/>
  <c r="G301" i="1"/>
  <c r="G305" i="1" s="1"/>
  <c r="F301" i="1"/>
  <c r="F305" i="1" s="1"/>
  <c r="E301" i="1"/>
  <c r="E305" i="1" s="1"/>
  <c r="D301" i="1"/>
  <c r="C301" i="1"/>
  <c r="C305" i="1" s="1"/>
  <c r="B301" i="1"/>
  <c r="B305" i="1" s="1"/>
  <c r="M300" i="1"/>
  <c r="L300" i="1"/>
  <c r="K300" i="1"/>
  <c r="J300" i="1"/>
  <c r="I300" i="1"/>
  <c r="H300" i="1"/>
  <c r="G300" i="1"/>
  <c r="E300" i="1"/>
  <c r="D300" i="1"/>
  <c r="C300" i="1"/>
  <c r="B300" i="1"/>
  <c r="L299" i="1"/>
  <c r="J299" i="1"/>
  <c r="I299" i="1"/>
  <c r="F299" i="1"/>
  <c r="C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N298" i="1" s="1"/>
  <c r="K297" i="1"/>
  <c r="G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5" i="1"/>
  <c r="N295" i="1" s="1"/>
  <c r="N294" i="1"/>
  <c r="E294" i="1"/>
  <c r="B294" i="1"/>
  <c r="M293" i="1"/>
  <c r="L293" i="1"/>
  <c r="K293" i="1"/>
  <c r="J293" i="1"/>
  <c r="I293" i="1"/>
  <c r="N293" i="1" s="1"/>
  <c r="M292" i="1"/>
  <c r="L292" i="1"/>
  <c r="J292" i="1"/>
  <c r="J297" i="1" s="1"/>
  <c r="I292" i="1"/>
  <c r="H292" i="1"/>
  <c r="G292" i="1"/>
  <c r="F292" i="1"/>
  <c r="F297" i="1" s="1"/>
  <c r="E292" i="1"/>
  <c r="N292" i="1" s="1"/>
  <c r="D292" i="1"/>
  <c r="M291" i="1"/>
  <c r="L291" i="1"/>
  <c r="K291" i="1"/>
  <c r="J291" i="1"/>
  <c r="I291" i="1"/>
  <c r="H291" i="1"/>
  <c r="G291" i="1"/>
  <c r="F291" i="1"/>
  <c r="E291" i="1"/>
  <c r="D291" i="1"/>
  <c r="M290" i="1"/>
  <c r="M297" i="1" s="1"/>
  <c r="L290" i="1"/>
  <c r="L297" i="1" s="1"/>
  <c r="K290" i="1"/>
  <c r="J290" i="1"/>
  <c r="I290" i="1"/>
  <c r="I297" i="1" s="1"/>
  <c r="H290" i="1"/>
  <c r="H297" i="1" s="1"/>
  <c r="G290" i="1"/>
  <c r="F290" i="1"/>
  <c r="E290" i="1"/>
  <c r="E297" i="1" s="1"/>
  <c r="D290" i="1"/>
  <c r="D297" i="1" s="1"/>
  <c r="C290" i="1"/>
  <c r="B290" i="1"/>
  <c r="M289" i="1"/>
  <c r="L289" i="1"/>
  <c r="I289" i="1"/>
  <c r="H289" i="1"/>
  <c r="E289" i="1"/>
  <c r="D289" i="1"/>
  <c r="M288" i="1"/>
  <c r="L288" i="1"/>
  <c r="K288" i="1"/>
  <c r="K289" i="1" s="1"/>
  <c r="J288" i="1"/>
  <c r="J289" i="1" s="1"/>
  <c r="I288" i="1"/>
  <c r="H288" i="1"/>
  <c r="G288" i="1"/>
  <c r="G289" i="1" s="1"/>
  <c r="F288" i="1"/>
  <c r="F289" i="1" s="1"/>
  <c r="E288" i="1"/>
  <c r="D288" i="1"/>
  <c r="C288" i="1"/>
  <c r="C289" i="1" s="1"/>
  <c r="B288" i="1"/>
  <c r="B289" i="1" s="1"/>
  <c r="N287" i="1"/>
  <c r="J286" i="1"/>
  <c r="I286" i="1"/>
  <c r="B286" i="1"/>
  <c r="L285" i="1"/>
  <c r="K285" i="1"/>
  <c r="H285" i="1"/>
  <c r="G285" i="1"/>
  <c r="F285" i="1"/>
  <c r="D285" i="1"/>
  <c r="C285" i="1"/>
  <c r="I284" i="1"/>
  <c r="M283" i="1"/>
  <c r="M285" i="1" s="1"/>
  <c r="K283" i="1"/>
  <c r="J283" i="1"/>
  <c r="J285" i="1" s="1"/>
  <c r="E283" i="1"/>
  <c r="E285" i="1" s="1"/>
  <c r="C283" i="1"/>
  <c r="B283" i="1"/>
  <c r="B285" i="1" s="1"/>
  <c r="M282" i="1"/>
  <c r="I282" i="1"/>
  <c r="G282" i="1"/>
  <c r="F282" i="1"/>
  <c r="E282" i="1"/>
  <c r="L281" i="1"/>
  <c r="J281" i="1"/>
  <c r="H281" i="1"/>
  <c r="F281" i="1"/>
  <c r="N281" i="1" s="1"/>
  <c r="D281" i="1"/>
  <c r="C281" i="1"/>
  <c r="L280" i="1"/>
  <c r="J280" i="1"/>
  <c r="I280" i="1"/>
  <c r="H280" i="1"/>
  <c r="F280" i="1"/>
  <c r="E280" i="1"/>
  <c r="D280" i="1"/>
  <c r="C280" i="1"/>
  <c r="N280" i="1" s="1"/>
  <c r="B280" i="1"/>
  <c r="L279" i="1"/>
  <c r="L282" i="1" s="1"/>
  <c r="J279" i="1"/>
  <c r="J282" i="1" s="1"/>
  <c r="H279" i="1"/>
  <c r="H282" i="1" s="1"/>
  <c r="F279" i="1"/>
  <c r="D279" i="1"/>
  <c r="D282" i="1" s="1"/>
  <c r="C279" i="1"/>
  <c r="K278" i="1"/>
  <c r="K282" i="1" s="1"/>
  <c r="I278" i="1"/>
  <c r="B278" i="1"/>
  <c r="N278" i="1" s="1"/>
  <c r="M277" i="1"/>
  <c r="K277" i="1"/>
  <c r="J277" i="1"/>
  <c r="I277" i="1"/>
  <c r="H277" i="1"/>
  <c r="G277" i="1"/>
  <c r="F277" i="1"/>
  <c r="E277" i="1"/>
  <c r="C277" i="1"/>
  <c r="B277" i="1"/>
  <c r="B276" i="1"/>
  <c r="N276" i="1" s="1"/>
  <c r="N275" i="1"/>
  <c r="L275" i="1"/>
  <c r="L277" i="1" s="1"/>
  <c r="D275" i="1"/>
  <c r="D277" i="1" s="1"/>
  <c r="B275" i="1"/>
  <c r="K273" i="1"/>
  <c r="G273" i="1"/>
  <c r="C273" i="1"/>
  <c r="C274" i="1" s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N270" i="1" s="1"/>
  <c r="N269" i="1"/>
  <c r="L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M273" i="1" s="1"/>
  <c r="M274" i="1" s="1"/>
  <c r="L267" i="1"/>
  <c r="K267" i="1"/>
  <c r="J267" i="1"/>
  <c r="I267" i="1"/>
  <c r="I273" i="1" s="1"/>
  <c r="H267" i="1"/>
  <c r="G267" i="1"/>
  <c r="F267" i="1"/>
  <c r="E267" i="1"/>
  <c r="E273" i="1" s="1"/>
  <c r="E274" i="1" s="1"/>
  <c r="D267" i="1"/>
  <c r="C267" i="1"/>
  <c r="B267" i="1"/>
  <c r="K266" i="1"/>
  <c r="J266" i="1"/>
  <c r="I266" i="1"/>
  <c r="H266" i="1"/>
  <c r="G266" i="1"/>
  <c r="G274" i="1" s="1"/>
  <c r="E266" i="1"/>
  <c r="D266" i="1"/>
  <c r="B266" i="1"/>
  <c r="N266" i="1" s="1"/>
  <c r="N265" i="1"/>
  <c r="L264" i="1"/>
  <c r="K264" i="1"/>
  <c r="J264" i="1"/>
  <c r="I264" i="1"/>
  <c r="H264" i="1"/>
  <c r="D264" i="1"/>
  <c r="C264" i="1"/>
  <c r="B264" i="1"/>
  <c r="N264" i="1" s="1"/>
  <c r="J263" i="1"/>
  <c r="I263" i="1"/>
  <c r="F263" i="1"/>
  <c r="B263" i="1"/>
  <c r="N262" i="1"/>
  <c r="M262" i="1"/>
  <c r="M261" i="1"/>
  <c r="M263" i="1" s="1"/>
  <c r="L261" i="1"/>
  <c r="L263" i="1" s="1"/>
  <c r="K261" i="1"/>
  <c r="K263" i="1" s="1"/>
  <c r="J261" i="1"/>
  <c r="I261" i="1"/>
  <c r="H261" i="1"/>
  <c r="H263" i="1" s="1"/>
  <c r="G261" i="1"/>
  <c r="G263" i="1" s="1"/>
  <c r="F261" i="1"/>
  <c r="E261" i="1"/>
  <c r="E263" i="1" s="1"/>
  <c r="D261" i="1"/>
  <c r="D263" i="1" s="1"/>
  <c r="C261" i="1"/>
  <c r="C263" i="1" s="1"/>
  <c r="B261" i="1"/>
  <c r="M260" i="1"/>
  <c r="F260" i="1"/>
  <c r="E260" i="1"/>
  <c r="B260" i="1"/>
  <c r="N259" i="1"/>
  <c r="E259" i="1"/>
  <c r="C259" i="1"/>
  <c r="M258" i="1"/>
  <c r="L258" i="1"/>
  <c r="K258" i="1"/>
  <c r="J258" i="1"/>
  <c r="J260" i="1" s="1"/>
  <c r="I258" i="1"/>
  <c r="I260" i="1" s="1"/>
  <c r="H258" i="1"/>
  <c r="G258" i="1"/>
  <c r="E258" i="1"/>
  <c r="N258" i="1" s="1"/>
  <c r="D258" i="1"/>
  <c r="C258" i="1"/>
  <c r="B258" i="1"/>
  <c r="N257" i="1"/>
  <c r="H257" i="1"/>
  <c r="M256" i="1"/>
  <c r="L256" i="1"/>
  <c r="L260" i="1" s="1"/>
  <c r="K256" i="1"/>
  <c r="K260" i="1" s="1"/>
  <c r="J256" i="1"/>
  <c r="I256" i="1"/>
  <c r="H256" i="1"/>
  <c r="H260" i="1" s="1"/>
  <c r="G256" i="1"/>
  <c r="G260" i="1" s="1"/>
  <c r="F256" i="1"/>
  <c r="E256" i="1"/>
  <c r="D256" i="1"/>
  <c r="D260" i="1" s="1"/>
  <c r="C256" i="1"/>
  <c r="C260" i="1" s="1"/>
  <c r="B256" i="1"/>
  <c r="K255" i="1"/>
  <c r="G255" i="1"/>
  <c r="G312" i="1" s="1"/>
  <c r="F255" i="1"/>
  <c r="C255" i="1"/>
  <c r="M253" i="1"/>
  <c r="L253" i="1"/>
  <c r="K253" i="1"/>
  <c r="J253" i="1"/>
  <c r="I253" i="1"/>
  <c r="H253" i="1"/>
  <c r="F253" i="1"/>
  <c r="E253" i="1"/>
  <c r="D253" i="1"/>
  <c r="C253" i="1"/>
  <c r="B253" i="1"/>
  <c r="N253" i="1" s="1"/>
  <c r="G252" i="1"/>
  <c r="C252" i="1"/>
  <c r="B252" i="1"/>
  <c r="J251" i="1"/>
  <c r="H251" i="1"/>
  <c r="F251" i="1"/>
  <c r="E251" i="1"/>
  <c r="C251" i="1"/>
  <c r="I250" i="1"/>
  <c r="N250" i="1" s="1"/>
  <c r="H250" i="1"/>
  <c r="I249" i="1"/>
  <c r="N249" i="1" s="1"/>
  <c r="M248" i="1"/>
  <c r="L248" i="1"/>
  <c r="L252" i="1" s="1"/>
  <c r="K248" i="1"/>
  <c r="J248" i="1"/>
  <c r="J252" i="1" s="1"/>
  <c r="I248" i="1"/>
  <c r="H248" i="1"/>
  <c r="G248" i="1"/>
  <c r="F248" i="1"/>
  <c r="N248" i="1" s="1"/>
  <c r="E248" i="1"/>
  <c r="D248" i="1"/>
  <c r="C248" i="1"/>
  <c r="H247" i="1"/>
  <c r="G247" i="1"/>
  <c r="F247" i="1"/>
  <c r="E247" i="1"/>
  <c r="N247" i="1" s="1"/>
  <c r="D247" i="1"/>
  <c r="D252" i="1" s="1"/>
  <c r="C247" i="1"/>
  <c r="B247" i="1"/>
  <c r="M246" i="1"/>
  <c r="M252" i="1" s="1"/>
  <c r="K246" i="1"/>
  <c r="K252" i="1" s="1"/>
  <c r="I246" i="1"/>
  <c r="H246" i="1"/>
  <c r="H252" i="1" s="1"/>
  <c r="G246" i="1"/>
  <c r="E246" i="1"/>
  <c r="E252" i="1" s="1"/>
  <c r="B246" i="1"/>
  <c r="K245" i="1"/>
  <c r="C245" i="1"/>
  <c r="L244" i="1"/>
  <c r="K244" i="1"/>
  <c r="J244" i="1"/>
  <c r="I244" i="1"/>
  <c r="G244" i="1"/>
  <c r="D244" i="1"/>
  <c r="C244" i="1"/>
  <c r="N244" i="1" s="1"/>
  <c r="M243" i="1"/>
  <c r="L243" i="1"/>
  <c r="K243" i="1"/>
  <c r="J243" i="1"/>
  <c r="I243" i="1"/>
  <c r="H243" i="1"/>
  <c r="G243" i="1"/>
  <c r="G245" i="1" s="1"/>
  <c r="F243" i="1"/>
  <c r="E243" i="1"/>
  <c r="D243" i="1"/>
  <c r="C243" i="1"/>
  <c r="B243" i="1"/>
  <c r="N243" i="1" s="1"/>
  <c r="M242" i="1"/>
  <c r="L242" i="1"/>
  <c r="K242" i="1"/>
  <c r="J242" i="1"/>
  <c r="I242" i="1"/>
  <c r="H242" i="1"/>
  <c r="G242" i="1"/>
  <c r="F242" i="1"/>
  <c r="E242" i="1"/>
  <c r="D242" i="1"/>
  <c r="C242" i="1"/>
  <c r="B242" i="1"/>
  <c r="N242" i="1" s="1"/>
  <c r="M241" i="1"/>
  <c r="L241" i="1"/>
  <c r="L245" i="1" s="1"/>
  <c r="K241" i="1"/>
  <c r="J241" i="1"/>
  <c r="J245" i="1" s="1"/>
  <c r="I241" i="1"/>
  <c r="H241" i="1"/>
  <c r="H245" i="1" s="1"/>
  <c r="G241" i="1"/>
  <c r="F241" i="1"/>
  <c r="F245" i="1" s="1"/>
  <c r="E241" i="1"/>
  <c r="D241" i="1"/>
  <c r="D245" i="1" s="1"/>
  <c r="C241" i="1"/>
  <c r="B241" i="1"/>
  <c r="B245" i="1" s="1"/>
  <c r="N240" i="1"/>
  <c r="K239" i="1"/>
  <c r="H238" i="1"/>
  <c r="M237" i="1"/>
  <c r="M238" i="1" s="1"/>
  <c r="L237" i="1"/>
  <c r="K237" i="1"/>
  <c r="J237" i="1"/>
  <c r="I237" i="1"/>
  <c r="I238" i="1" s="1"/>
  <c r="H237" i="1"/>
  <c r="G237" i="1"/>
  <c r="F237" i="1"/>
  <c r="E237" i="1"/>
  <c r="E238" i="1" s="1"/>
  <c r="D237" i="1"/>
  <c r="C237" i="1"/>
  <c r="B237" i="1"/>
  <c r="N237" i="1" s="1"/>
  <c r="M236" i="1"/>
  <c r="L236" i="1"/>
  <c r="K236" i="1"/>
  <c r="J236" i="1"/>
  <c r="I236" i="1"/>
  <c r="H236" i="1"/>
  <c r="G236" i="1"/>
  <c r="F236" i="1"/>
  <c r="E236" i="1"/>
  <c r="D236" i="1"/>
  <c r="C236" i="1"/>
  <c r="B236" i="1"/>
  <c r="N236" i="1" s="1"/>
  <c r="M235" i="1"/>
  <c r="L235" i="1"/>
  <c r="L238" i="1" s="1"/>
  <c r="K235" i="1"/>
  <c r="K238" i="1" s="1"/>
  <c r="J235" i="1"/>
  <c r="J238" i="1" s="1"/>
  <c r="I235" i="1"/>
  <c r="H235" i="1"/>
  <c r="G235" i="1"/>
  <c r="G238" i="1" s="1"/>
  <c r="F235" i="1"/>
  <c r="F238" i="1" s="1"/>
  <c r="E235" i="1"/>
  <c r="D235" i="1"/>
  <c r="D238" i="1" s="1"/>
  <c r="C235" i="1"/>
  <c r="C238" i="1" s="1"/>
  <c r="B235" i="1"/>
  <c r="N235" i="1" s="1"/>
  <c r="B234" i="1"/>
  <c r="G233" i="1"/>
  <c r="M232" i="1"/>
  <c r="L232" i="1"/>
  <c r="K232" i="1"/>
  <c r="J232" i="1"/>
  <c r="I232" i="1"/>
  <c r="H232" i="1"/>
  <c r="G232" i="1"/>
  <c r="F232" i="1"/>
  <c r="E232" i="1"/>
  <c r="D232" i="1"/>
  <c r="C232" i="1"/>
  <c r="C233" i="1" s="1"/>
  <c r="B232" i="1"/>
  <c r="N232" i="1" s="1"/>
  <c r="K231" i="1"/>
  <c r="J231" i="1"/>
  <c r="I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J233" i="1" s="1"/>
  <c r="I229" i="1"/>
  <c r="H229" i="1"/>
  <c r="G229" i="1"/>
  <c r="F229" i="1"/>
  <c r="F233" i="1" s="1"/>
  <c r="E229" i="1"/>
  <c r="D229" i="1"/>
  <c r="C229" i="1"/>
  <c r="B229" i="1"/>
  <c r="B233" i="1" s="1"/>
  <c r="M228" i="1"/>
  <c r="L228" i="1"/>
  <c r="K228" i="1"/>
  <c r="K233" i="1" s="1"/>
  <c r="D228" i="1"/>
  <c r="D233" i="1" s="1"/>
  <c r="M227" i="1"/>
  <c r="L227" i="1"/>
  <c r="K227" i="1"/>
  <c r="J227" i="1"/>
  <c r="I227" i="1"/>
  <c r="H227" i="1"/>
  <c r="G227" i="1"/>
  <c r="F227" i="1"/>
  <c r="E227" i="1"/>
  <c r="D227" i="1"/>
  <c r="C227" i="1"/>
  <c r="B227" i="1"/>
  <c r="I226" i="1"/>
  <c r="H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N225" i="1" s="1"/>
  <c r="M224" i="1"/>
  <c r="L224" i="1"/>
  <c r="K224" i="1"/>
  <c r="J224" i="1"/>
  <c r="I224" i="1"/>
  <c r="H224" i="1"/>
  <c r="G224" i="1"/>
  <c r="F224" i="1"/>
  <c r="E224" i="1"/>
  <c r="D224" i="1"/>
  <c r="C224" i="1"/>
  <c r="B224" i="1"/>
  <c r="N224" i="1" s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M226" i="1" s="1"/>
  <c r="L222" i="1"/>
  <c r="L226" i="1" s="1"/>
  <c r="K222" i="1"/>
  <c r="K226" i="1" s="1"/>
  <c r="J222" i="1"/>
  <c r="I222" i="1"/>
  <c r="H222" i="1"/>
  <c r="G222" i="1"/>
  <c r="G226" i="1" s="1"/>
  <c r="F222" i="1"/>
  <c r="E222" i="1"/>
  <c r="E226" i="1" s="1"/>
  <c r="D222" i="1"/>
  <c r="D226" i="1" s="1"/>
  <c r="D239" i="1" s="1"/>
  <c r="C222" i="1"/>
  <c r="C226" i="1" s="1"/>
  <c r="C239" i="1" s="1"/>
  <c r="B222" i="1"/>
  <c r="N221" i="1"/>
  <c r="N220" i="1"/>
  <c r="L219" i="1"/>
  <c r="K219" i="1"/>
  <c r="G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N218" i="1" s="1"/>
  <c r="M217" i="1"/>
  <c r="L217" i="1"/>
  <c r="K217" i="1"/>
  <c r="J217" i="1"/>
  <c r="I217" i="1"/>
  <c r="N217" i="1" s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J219" i="1" s="1"/>
  <c r="I214" i="1"/>
  <c r="H214" i="1"/>
  <c r="H219" i="1" s="1"/>
  <c r="G214" i="1"/>
  <c r="F214" i="1"/>
  <c r="F219" i="1" s="1"/>
  <c r="E214" i="1"/>
  <c r="D214" i="1"/>
  <c r="C214" i="1"/>
  <c r="B214" i="1"/>
  <c r="B219" i="1" s="1"/>
  <c r="N213" i="1"/>
  <c r="F212" i="1"/>
  <c r="L211" i="1"/>
  <c r="N211" i="1" s="1"/>
  <c r="M210" i="1"/>
  <c r="L210" i="1"/>
  <c r="K210" i="1"/>
  <c r="K212" i="1" s="1"/>
  <c r="J210" i="1"/>
  <c r="I210" i="1"/>
  <c r="H210" i="1"/>
  <c r="G210" i="1"/>
  <c r="F210" i="1"/>
  <c r="E210" i="1"/>
  <c r="D210" i="1"/>
  <c r="C210" i="1"/>
  <c r="B210" i="1"/>
  <c r="N210" i="1" s="1"/>
  <c r="M209" i="1"/>
  <c r="M212" i="1" s="1"/>
  <c r="L209" i="1"/>
  <c r="K209" i="1"/>
  <c r="J209" i="1"/>
  <c r="I209" i="1"/>
  <c r="H209" i="1"/>
  <c r="H212" i="1" s="1"/>
  <c r="G209" i="1"/>
  <c r="F209" i="1"/>
  <c r="E209" i="1"/>
  <c r="D209" i="1"/>
  <c r="D212" i="1" s="1"/>
  <c r="C209" i="1"/>
  <c r="B209" i="1"/>
  <c r="N209" i="1" s="1"/>
  <c r="K208" i="1"/>
  <c r="J208" i="1"/>
  <c r="J212" i="1" s="1"/>
  <c r="I208" i="1"/>
  <c r="I212" i="1" s="1"/>
  <c r="H208" i="1"/>
  <c r="G208" i="1"/>
  <c r="G212" i="1" s="1"/>
  <c r="F208" i="1"/>
  <c r="E208" i="1"/>
  <c r="E212" i="1" s="1"/>
  <c r="D208" i="1"/>
  <c r="C208" i="1"/>
  <c r="C212" i="1" s="1"/>
  <c r="B208" i="1"/>
  <c r="J207" i="1"/>
  <c r="D207" i="1"/>
  <c r="C207" i="1"/>
  <c r="K206" i="1"/>
  <c r="I206" i="1"/>
  <c r="H206" i="1"/>
  <c r="H207" i="1" s="1"/>
  <c r="F206" i="1"/>
  <c r="K205" i="1"/>
  <c r="J205" i="1"/>
  <c r="N205" i="1" s="1"/>
  <c r="M204" i="1"/>
  <c r="L204" i="1"/>
  <c r="J204" i="1"/>
  <c r="I204" i="1"/>
  <c r="H204" i="1"/>
  <c r="F204" i="1"/>
  <c r="E204" i="1"/>
  <c r="N204" i="1" s="1"/>
  <c r="K203" i="1"/>
  <c r="K207" i="1" s="1"/>
  <c r="J203" i="1"/>
  <c r="I203" i="1"/>
  <c r="H203" i="1"/>
  <c r="G203" i="1"/>
  <c r="G207" i="1" s="1"/>
  <c r="F203" i="1"/>
  <c r="E203" i="1"/>
  <c r="C203" i="1"/>
  <c r="N203" i="1" s="1"/>
  <c r="M202" i="1"/>
  <c r="M207" i="1" s="1"/>
  <c r="L202" i="1"/>
  <c r="L207" i="1" s="1"/>
  <c r="K202" i="1"/>
  <c r="J202" i="1"/>
  <c r="I202" i="1"/>
  <c r="H202" i="1"/>
  <c r="G202" i="1"/>
  <c r="F202" i="1"/>
  <c r="F207" i="1" s="1"/>
  <c r="E202" i="1"/>
  <c r="D202" i="1"/>
  <c r="C202" i="1"/>
  <c r="B202" i="1"/>
  <c r="N202" i="1" s="1"/>
  <c r="F201" i="1"/>
  <c r="E201" i="1"/>
  <c r="M200" i="1"/>
  <c r="L200" i="1"/>
  <c r="J200" i="1"/>
  <c r="I200" i="1"/>
  <c r="H200" i="1"/>
  <c r="E200" i="1"/>
  <c r="C200" i="1"/>
  <c r="B200" i="1"/>
  <c r="N200" i="1" s="1"/>
  <c r="M199" i="1"/>
  <c r="L199" i="1"/>
  <c r="K199" i="1"/>
  <c r="J199" i="1"/>
  <c r="I199" i="1"/>
  <c r="H199" i="1"/>
  <c r="G199" i="1"/>
  <c r="F199" i="1"/>
  <c r="N199" i="1" s="1"/>
  <c r="M198" i="1"/>
  <c r="L198" i="1"/>
  <c r="K198" i="1"/>
  <c r="J198" i="1"/>
  <c r="N198" i="1" s="1"/>
  <c r="I198" i="1"/>
  <c r="H198" i="1"/>
  <c r="M197" i="1"/>
  <c r="L197" i="1"/>
  <c r="K197" i="1"/>
  <c r="J197" i="1"/>
  <c r="D197" i="1"/>
  <c r="N197" i="1" s="1"/>
  <c r="M196" i="1"/>
  <c r="L196" i="1"/>
  <c r="J196" i="1"/>
  <c r="I196" i="1"/>
  <c r="N196" i="1" s="1"/>
  <c r="M195" i="1"/>
  <c r="L195" i="1"/>
  <c r="K195" i="1"/>
  <c r="J195" i="1"/>
  <c r="I195" i="1"/>
  <c r="H195" i="1"/>
  <c r="G195" i="1"/>
  <c r="F195" i="1"/>
  <c r="E195" i="1"/>
  <c r="D195" i="1"/>
  <c r="C195" i="1"/>
  <c r="B195" i="1"/>
  <c r="N195" i="1" s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K193" i="1"/>
  <c r="J193" i="1"/>
  <c r="I193" i="1"/>
  <c r="I201" i="1" s="1"/>
  <c r="H193" i="1"/>
  <c r="G193" i="1"/>
  <c r="F193" i="1"/>
  <c r="E193" i="1"/>
  <c r="C193" i="1"/>
  <c r="N193" i="1" s="1"/>
  <c r="M192" i="1"/>
  <c r="L192" i="1"/>
  <c r="K192" i="1"/>
  <c r="K201" i="1" s="1"/>
  <c r="J192" i="1"/>
  <c r="I192" i="1"/>
  <c r="H192" i="1"/>
  <c r="G192" i="1"/>
  <c r="G201" i="1" s="1"/>
  <c r="F192" i="1"/>
  <c r="E192" i="1"/>
  <c r="D192" i="1"/>
  <c r="C192" i="1"/>
  <c r="C201" i="1" s="1"/>
  <c r="B192" i="1"/>
  <c r="E191" i="1"/>
  <c r="C191" i="1"/>
  <c r="H190" i="1"/>
  <c r="N190" i="1" s="1"/>
  <c r="M189" i="1"/>
  <c r="L189" i="1"/>
  <c r="K189" i="1"/>
  <c r="J189" i="1"/>
  <c r="I189" i="1"/>
  <c r="H189" i="1"/>
  <c r="N188" i="1"/>
  <c r="M188" i="1"/>
  <c r="D188" i="1"/>
  <c r="K187" i="1"/>
  <c r="K191" i="1" s="1"/>
  <c r="J187" i="1"/>
  <c r="N187" i="1" s="1"/>
  <c r="H187" i="1"/>
  <c r="H186" i="1"/>
  <c r="G186" i="1"/>
  <c r="G191" i="1" s="1"/>
  <c r="E186" i="1"/>
  <c r="M185" i="1"/>
  <c r="M191" i="1" s="1"/>
  <c r="L185" i="1"/>
  <c r="L191" i="1" s="1"/>
  <c r="K185" i="1"/>
  <c r="J185" i="1"/>
  <c r="I185" i="1"/>
  <c r="I191" i="1" s="1"/>
  <c r="H185" i="1"/>
  <c r="H191" i="1" s="1"/>
  <c r="G185" i="1"/>
  <c r="F185" i="1"/>
  <c r="F191" i="1" s="1"/>
  <c r="E185" i="1"/>
  <c r="D185" i="1"/>
  <c r="D191" i="1" s="1"/>
  <c r="C185" i="1"/>
  <c r="B185" i="1"/>
  <c r="B191" i="1" s="1"/>
  <c r="N184" i="1"/>
  <c r="M181" i="1"/>
  <c r="L181" i="1"/>
  <c r="I181" i="1"/>
  <c r="H181" i="1"/>
  <c r="E181" i="1"/>
  <c r="D181" i="1"/>
  <c r="B180" i="1"/>
  <c r="N180" i="1" s="1"/>
  <c r="M179" i="1"/>
  <c r="L179" i="1"/>
  <c r="K179" i="1"/>
  <c r="K181" i="1" s="1"/>
  <c r="J179" i="1"/>
  <c r="J181" i="1" s="1"/>
  <c r="I179" i="1"/>
  <c r="H179" i="1"/>
  <c r="G179" i="1"/>
  <c r="G181" i="1" s="1"/>
  <c r="F179" i="1"/>
  <c r="F181" i="1" s="1"/>
  <c r="E179" i="1"/>
  <c r="D179" i="1"/>
  <c r="C179" i="1"/>
  <c r="C181" i="1" s="1"/>
  <c r="B179" i="1"/>
  <c r="B181" i="1" s="1"/>
  <c r="M178" i="1"/>
  <c r="L178" i="1"/>
  <c r="H178" i="1"/>
  <c r="G178" i="1"/>
  <c r="D178" i="1"/>
  <c r="G177" i="1"/>
  <c r="N177" i="1" s="1"/>
  <c r="N176" i="1"/>
  <c r="J176" i="1"/>
  <c r="E176" i="1"/>
  <c r="E178" i="1" s="1"/>
  <c r="K175" i="1"/>
  <c r="K178" i="1" s="1"/>
  <c r="J175" i="1"/>
  <c r="J178" i="1" s="1"/>
  <c r="I175" i="1"/>
  <c r="I178" i="1" s="1"/>
  <c r="G175" i="1"/>
  <c r="F175" i="1"/>
  <c r="F178" i="1" s="1"/>
  <c r="E175" i="1"/>
  <c r="D175" i="1"/>
  <c r="C175" i="1"/>
  <c r="C178" i="1" s="1"/>
  <c r="B175" i="1"/>
  <c r="B178" i="1" s="1"/>
  <c r="G174" i="1"/>
  <c r="M173" i="1"/>
  <c r="L173" i="1"/>
  <c r="K173" i="1"/>
  <c r="J173" i="1"/>
  <c r="I173" i="1"/>
  <c r="H173" i="1"/>
  <c r="H174" i="1" s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2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1" i="1" s="1"/>
  <c r="M170" i="1"/>
  <c r="L170" i="1"/>
  <c r="L174" i="1" s="1"/>
  <c r="K170" i="1"/>
  <c r="K174" i="1" s="1"/>
  <c r="J170" i="1"/>
  <c r="J174" i="1" s="1"/>
  <c r="I170" i="1"/>
  <c r="H170" i="1"/>
  <c r="G170" i="1"/>
  <c r="F170" i="1"/>
  <c r="F174" i="1" s="1"/>
  <c r="E170" i="1"/>
  <c r="D170" i="1"/>
  <c r="D174" i="1" s="1"/>
  <c r="C170" i="1"/>
  <c r="C174" i="1" s="1"/>
  <c r="B170" i="1"/>
  <c r="B174" i="1" s="1"/>
  <c r="N169" i="1"/>
  <c r="M168" i="1"/>
  <c r="J168" i="1"/>
  <c r="I168" i="1"/>
  <c r="F168" i="1"/>
  <c r="E168" i="1"/>
  <c r="B168" i="1"/>
  <c r="N167" i="1"/>
  <c r="C167" i="1"/>
  <c r="L166" i="1"/>
  <c r="K166" i="1"/>
  <c r="J166" i="1"/>
  <c r="I166" i="1"/>
  <c r="C165" i="1"/>
  <c r="N165" i="1" s="1"/>
  <c r="M164" i="1"/>
  <c r="L164" i="1"/>
  <c r="K164" i="1"/>
  <c r="J164" i="1"/>
  <c r="I164" i="1"/>
  <c r="H164" i="1"/>
  <c r="H168" i="1" s="1"/>
  <c r="G164" i="1"/>
  <c r="F164" i="1"/>
  <c r="E164" i="1"/>
  <c r="D164" i="1"/>
  <c r="D168" i="1" s="1"/>
  <c r="C164" i="1"/>
  <c r="N164" i="1" s="1"/>
  <c r="M163" i="1"/>
  <c r="K163" i="1"/>
  <c r="G163" i="1"/>
  <c r="F163" i="1"/>
  <c r="E163" i="1"/>
  <c r="C163" i="1"/>
  <c r="B163" i="1"/>
  <c r="N163" i="1" s="1"/>
  <c r="K162" i="1"/>
  <c r="G162" i="1"/>
  <c r="C162" i="1"/>
  <c r="M161" i="1"/>
  <c r="L161" i="1"/>
  <c r="L162" i="1" s="1"/>
  <c r="K161" i="1"/>
  <c r="J161" i="1"/>
  <c r="I161" i="1"/>
  <c r="H161" i="1"/>
  <c r="H162" i="1" s="1"/>
  <c r="G161" i="1"/>
  <c r="F161" i="1"/>
  <c r="E161" i="1"/>
  <c r="D161" i="1"/>
  <c r="D162" i="1" s="1"/>
  <c r="C161" i="1"/>
  <c r="B161" i="1"/>
  <c r="N161" i="1" s="1"/>
  <c r="M160" i="1"/>
  <c r="M162" i="1" s="1"/>
  <c r="L160" i="1"/>
  <c r="K160" i="1"/>
  <c r="J160" i="1"/>
  <c r="I160" i="1"/>
  <c r="I162" i="1" s="1"/>
  <c r="H160" i="1"/>
  <c r="G160" i="1"/>
  <c r="F160" i="1"/>
  <c r="E160" i="1"/>
  <c r="E162" i="1" s="1"/>
  <c r="D160" i="1"/>
  <c r="C160" i="1"/>
  <c r="B160" i="1"/>
  <c r="N160" i="1" s="1"/>
  <c r="M159" i="1"/>
  <c r="L159" i="1"/>
  <c r="K159" i="1"/>
  <c r="J159" i="1"/>
  <c r="J162" i="1" s="1"/>
  <c r="I159" i="1"/>
  <c r="H159" i="1"/>
  <c r="G159" i="1"/>
  <c r="F159" i="1"/>
  <c r="F162" i="1" s="1"/>
  <c r="E159" i="1"/>
  <c r="D159" i="1"/>
  <c r="C159" i="1"/>
  <c r="B159" i="1"/>
  <c r="B162" i="1" s="1"/>
  <c r="N158" i="1"/>
  <c r="H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6" i="1" s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5" i="1" s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M157" i="1" s="1"/>
  <c r="L153" i="1"/>
  <c r="L157" i="1" s="1"/>
  <c r="K153" i="1"/>
  <c r="J153" i="1"/>
  <c r="I153" i="1"/>
  <c r="I157" i="1" s="1"/>
  <c r="H153" i="1"/>
  <c r="G153" i="1"/>
  <c r="F153" i="1"/>
  <c r="E153" i="1"/>
  <c r="E157" i="1" s="1"/>
  <c r="D153" i="1"/>
  <c r="D157" i="1" s="1"/>
  <c r="C153" i="1"/>
  <c r="B153" i="1"/>
  <c r="M152" i="1"/>
  <c r="L152" i="1"/>
  <c r="K152" i="1"/>
  <c r="J152" i="1"/>
  <c r="J157" i="1" s="1"/>
  <c r="I152" i="1"/>
  <c r="H152" i="1"/>
  <c r="G152" i="1"/>
  <c r="F152" i="1"/>
  <c r="F157" i="1" s="1"/>
  <c r="E152" i="1"/>
  <c r="D152" i="1"/>
  <c r="C152" i="1"/>
  <c r="B152" i="1"/>
  <c r="B157" i="1" s="1"/>
  <c r="K151" i="1"/>
  <c r="J151" i="1"/>
  <c r="I151" i="1"/>
  <c r="G151" i="1"/>
  <c r="C151" i="1"/>
  <c r="B151" i="1"/>
  <c r="H150" i="1"/>
  <c r="F150" i="1"/>
  <c r="E150" i="1"/>
  <c r="L149" i="1"/>
  <c r="J149" i="1"/>
  <c r="M148" i="1"/>
  <c r="M151" i="1" s="1"/>
  <c r="L148" i="1"/>
  <c r="L151" i="1" s="1"/>
  <c r="J148" i="1"/>
  <c r="H148" i="1"/>
  <c r="H151" i="1" s="1"/>
  <c r="G148" i="1"/>
  <c r="F148" i="1"/>
  <c r="F151" i="1" s="1"/>
  <c r="E148" i="1"/>
  <c r="D148" i="1"/>
  <c r="D151" i="1" s="1"/>
  <c r="C148" i="1"/>
  <c r="L147" i="1"/>
  <c r="K147" i="1"/>
  <c r="J147" i="1"/>
  <c r="H147" i="1"/>
  <c r="F147" i="1"/>
  <c r="E147" i="1"/>
  <c r="G146" i="1"/>
  <c r="N146" i="1" s="1"/>
  <c r="B146" i="1"/>
  <c r="M145" i="1"/>
  <c r="M147" i="1" s="1"/>
  <c r="B145" i="1"/>
  <c r="B147" i="1" s="1"/>
  <c r="N147" i="1" s="1"/>
  <c r="L144" i="1"/>
  <c r="I144" i="1"/>
  <c r="I147" i="1" s="1"/>
  <c r="H144" i="1"/>
  <c r="G144" i="1"/>
  <c r="G147" i="1" s="1"/>
  <c r="D144" i="1"/>
  <c r="D147" i="1" s="1"/>
  <c r="C144" i="1"/>
  <c r="C147" i="1" s="1"/>
  <c r="B144" i="1"/>
  <c r="H143" i="1"/>
  <c r="C143" i="1"/>
  <c r="M142" i="1"/>
  <c r="L142" i="1"/>
  <c r="K142" i="1"/>
  <c r="J142" i="1"/>
  <c r="I142" i="1"/>
  <c r="H142" i="1"/>
  <c r="G142" i="1"/>
  <c r="F142" i="1"/>
  <c r="E142" i="1"/>
  <c r="D142" i="1"/>
  <c r="D143" i="1" s="1"/>
  <c r="C142" i="1"/>
  <c r="B142" i="1"/>
  <c r="N142" i="1" s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1" i="1" s="1"/>
  <c r="M140" i="1"/>
  <c r="L140" i="1"/>
  <c r="K140" i="1"/>
  <c r="J140" i="1"/>
  <c r="I140" i="1"/>
  <c r="H140" i="1"/>
  <c r="G140" i="1"/>
  <c r="F140" i="1"/>
  <c r="E140" i="1"/>
  <c r="D140" i="1"/>
  <c r="C140" i="1"/>
  <c r="B140" i="1"/>
  <c r="N140" i="1" s="1"/>
  <c r="M139" i="1"/>
  <c r="M143" i="1" s="1"/>
  <c r="L139" i="1"/>
  <c r="L143" i="1" s="1"/>
  <c r="K139" i="1"/>
  <c r="K143" i="1" s="1"/>
  <c r="J139" i="1"/>
  <c r="I139" i="1"/>
  <c r="I143" i="1" s="1"/>
  <c r="H139" i="1"/>
  <c r="G139" i="1"/>
  <c r="G143" i="1" s="1"/>
  <c r="F139" i="1"/>
  <c r="E139" i="1"/>
  <c r="E143" i="1" s="1"/>
  <c r="D139" i="1"/>
  <c r="C139" i="1"/>
  <c r="B139" i="1"/>
  <c r="N138" i="1"/>
  <c r="N137" i="1"/>
  <c r="H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N134" i="1" s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3" i="1" s="1"/>
  <c r="M132" i="1"/>
  <c r="L132" i="1"/>
  <c r="K132" i="1"/>
  <c r="J132" i="1"/>
  <c r="I132" i="1"/>
  <c r="H132" i="1"/>
  <c r="G132" i="1"/>
  <c r="F132" i="1"/>
  <c r="E132" i="1"/>
  <c r="D132" i="1"/>
  <c r="C132" i="1"/>
  <c r="B132" i="1"/>
  <c r="N132" i="1" s="1"/>
  <c r="M131" i="1"/>
  <c r="M135" i="1" s="1"/>
  <c r="L131" i="1"/>
  <c r="K131" i="1"/>
  <c r="K135" i="1" s="1"/>
  <c r="J131" i="1"/>
  <c r="I131" i="1"/>
  <c r="I135" i="1" s="1"/>
  <c r="H131" i="1"/>
  <c r="G131" i="1"/>
  <c r="G135" i="1" s="1"/>
  <c r="F131" i="1"/>
  <c r="E131" i="1"/>
  <c r="E135" i="1" s="1"/>
  <c r="D131" i="1"/>
  <c r="C131" i="1"/>
  <c r="B131" i="1"/>
  <c r="M130" i="1"/>
  <c r="L130" i="1"/>
  <c r="L135" i="1" s="1"/>
  <c r="K130" i="1"/>
  <c r="J130" i="1"/>
  <c r="J135" i="1" s="1"/>
  <c r="I130" i="1"/>
  <c r="H130" i="1"/>
  <c r="G130" i="1"/>
  <c r="F130" i="1"/>
  <c r="F135" i="1" s="1"/>
  <c r="E130" i="1"/>
  <c r="D130" i="1"/>
  <c r="D135" i="1" s="1"/>
  <c r="C130" i="1"/>
  <c r="B130" i="1"/>
  <c r="B135" i="1" s="1"/>
  <c r="N129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F128" i="1" s="1"/>
  <c r="E126" i="1"/>
  <c r="D126" i="1"/>
  <c r="C126" i="1"/>
  <c r="B126" i="1"/>
  <c r="N126" i="1" s="1"/>
  <c r="M125" i="1"/>
  <c r="L125" i="1"/>
  <c r="K125" i="1"/>
  <c r="K128" i="1" s="1"/>
  <c r="J125" i="1"/>
  <c r="I125" i="1"/>
  <c r="H125" i="1"/>
  <c r="G125" i="1"/>
  <c r="G128" i="1" s="1"/>
  <c r="F125" i="1"/>
  <c r="E125" i="1"/>
  <c r="D125" i="1"/>
  <c r="C125" i="1"/>
  <c r="C128" i="1" s="1"/>
  <c r="B125" i="1"/>
  <c r="N125" i="1" s="1"/>
  <c r="M124" i="1"/>
  <c r="L124" i="1"/>
  <c r="K124" i="1"/>
  <c r="J124" i="1"/>
  <c r="J128" i="1" s="1"/>
  <c r="I124" i="1"/>
  <c r="H124" i="1"/>
  <c r="G124" i="1"/>
  <c r="F124" i="1"/>
  <c r="E124" i="1"/>
  <c r="D124" i="1"/>
  <c r="C124" i="1"/>
  <c r="B124" i="1"/>
  <c r="N124" i="1" s="1"/>
  <c r="M123" i="1"/>
  <c r="L123" i="1"/>
  <c r="L128" i="1" s="1"/>
  <c r="K123" i="1"/>
  <c r="J123" i="1"/>
  <c r="I123" i="1"/>
  <c r="H123" i="1"/>
  <c r="H128" i="1" s="1"/>
  <c r="G123" i="1"/>
  <c r="F123" i="1"/>
  <c r="E123" i="1"/>
  <c r="D123" i="1"/>
  <c r="D128" i="1" s="1"/>
  <c r="C123" i="1"/>
  <c r="B123" i="1"/>
  <c r="N122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20" i="1" s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I121" i="1" s="1"/>
  <c r="H118" i="1"/>
  <c r="G118" i="1"/>
  <c r="F118" i="1"/>
  <c r="E118" i="1"/>
  <c r="E121" i="1" s="1"/>
  <c r="D118" i="1"/>
  <c r="C118" i="1"/>
  <c r="B118" i="1"/>
  <c r="N118" i="1" s="1"/>
  <c r="M117" i="1"/>
  <c r="M121" i="1" s="1"/>
  <c r="L117" i="1"/>
  <c r="K117" i="1"/>
  <c r="J117" i="1"/>
  <c r="J121" i="1" s="1"/>
  <c r="I117" i="1"/>
  <c r="H117" i="1"/>
  <c r="G117" i="1"/>
  <c r="F117" i="1"/>
  <c r="F121" i="1" s="1"/>
  <c r="E117" i="1"/>
  <c r="D117" i="1"/>
  <c r="C117" i="1"/>
  <c r="B117" i="1"/>
  <c r="N117" i="1" s="1"/>
  <c r="M116" i="1"/>
  <c r="L116" i="1"/>
  <c r="K116" i="1"/>
  <c r="K121" i="1" s="1"/>
  <c r="J116" i="1"/>
  <c r="I116" i="1"/>
  <c r="H116" i="1"/>
  <c r="G116" i="1"/>
  <c r="G121" i="1" s="1"/>
  <c r="F116" i="1"/>
  <c r="E116" i="1"/>
  <c r="D116" i="1"/>
  <c r="C116" i="1"/>
  <c r="C121" i="1" s="1"/>
  <c r="B116" i="1"/>
  <c r="B121" i="1" s="1"/>
  <c r="N115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N113" i="1" s="1"/>
  <c r="M112" i="1"/>
  <c r="L112" i="1"/>
  <c r="K112" i="1"/>
  <c r="J112" i="1"/>
  <c r="I112" i="1"/>
  <c r="H112" i="1"/>
  <c r="H114" i="1" s="1"/>
  <c r="G112" i="1"/>
  <c r="F112" i="1"/>
  <c r="E112" i="1"/>
  <c r="D112" i="1"/>
  <c r="C112" i="1"/>
  <c r="B112" i="1"/>
  <c r="N112" i="1" s="1"/>
  <c r="M111" i="1"/>
  <c r="M114" i="1" s="1"/>
  <c r="L111" i="1"/>
  <c r="K111" i="1"/>
  <c r="J111" i="1"/>
  <c r="I111" i="1"/>
  <c r="H111" i="1"/>
  <c r="G111" i="1"/>
  <c r="F111" i="1"/>
  <c r="E111" i="1"/>
  <c r="D111" i="1"/>
  <c r="C111" i="1"/>
  <c r="B111" i="1"/>
  <c r="N111" i="1" s="1"/>
  <c r="M110" i="1"/>
  <c r="L110" i="1"/>
  <c r="K110" i="1"/>
  <c r="J110" i="1"/>
  <c r="J114" i="1" s="1"/>
  <c r="I110" i="1"/>
  <c r="H110" i="1"/>
  <c r="G110" i="1"/>
  <c r="F110" i="1"/>
  <c r="E110" i="1"/>
  <c r="D110" i="1"/>
  <c r="C110" i="1"/>
  <c r="B110" i="1"/>
  <c r="N110" i="1" s="1"/>
  <c r="M109" i="1"/>
  <c r="L109" i="1"/>
  <c r="L114" i="1" s="1"/>
  <c r="K109" i="1"/>
  <c r="K114" i="1" s="1"/>
  <c r="J109" i="1"/>
  <c r="I109" i="1"/>
  <c r="I114" i="1" s="1"/>
  <c r="H109" i="1"/>
  <c r="G109" i="1"/>
  <c r="G114" i="1" s="1"/>
  <c r="F109" i="1"/>
  <c r="F114" i="1" s="1"/>
  <c r="E109" i="1"/>
  <c r="E114" i="1" s="1"/>
  <c r="D109" i="1"/>
  <c r="D114" i="1" s="1"/>
  <c r="C109" i="1"/>
  <c r="C114" i="1" s="1"/>
  <c r="B109" i="1"/>
  <c r="N109" i="1" s="1"/>
  <c r="N108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6" i="1" s="1"/>
  <c r="M105" i="1"/>
  <c r="L105" i="1"/>
  <c r="K105" i="1"/>
  <c r="J105" i="1"/>
  <c r="I105" i="1"/>
  <c r="H105" i="1"/>
  <c r="G105" i="1"/>
  <c r="F105" i="1"/>
  <c r="E105" i="1"/>
  <c r="D105" i="1"/>
  <c r="C105" i="1"/>
  <c r="B105" i="1"/>
  <c r="N105" i="1" s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4" i="1" s="1"/>
  <c r="M103" i="1"/>
  <c r="M107" i="1" s="1"/>
  <c r="L103" i="1"/>
  <c r="K103" i="1"/>
  <c r="K107" i="1" s="1"/>
  <c r="K136" i="1" s="1"/>
  <c r="J103" i="1"/>
  <c r="I103" i="1"/>
  <c r="I107" i="1" s="1"/>
  <c r="H103" i="1"/>
  <c r="G103" i="1"/>
  <c r="G107" i="1" s="1"/>
  <c r="G136" i="1" s="1"/>
  <c r="F103" i="1"/>
  <c r="E103" i="1"/>
  <c r="E107" i="1" s="1"/>
  <c r="D103" i="1"/>
  <c r="C103" i="1"/>
  <c r="C107" i="1" s="1"/>
  <c r="C136" i="1" s="1"/>
  <c r="B103" i="1"/>
  <c r="N103" i="1" s="1"/>
  <c r="M102" i="1"/>
  <c r="L102" i="1"/>
  <c r="L107" i="1" s="1"/>
  <c r="K102" i="1"/>
  <c r="J102" i="1"/>
  <c r="J107" i="1" s="1"/>
  <c r="I102" i="1"/>
  <c r="H102" i="1"/>
  <c r="H107" i="1" s="1"/>
  <c r="G102" i="1"/>
  <c r="F102" i="1"/>
  <c r="F107" i="1" s="1"/>
  <c r="E102" i="1"/>
  <c r="D102" i="1"/>
  <c r="D107" i="1" s="1"/>
  <c r="C102" i="1"/>
  <c r="B102" i="1"/>
  <c r="N102" i="1" s="1"/>
  <c r="N101" i="1"/>
  <c r="N100" i="1"/>
  <c r="N99" i="1"/>
  <c r="M96" i="1"/>
  <c r="L96" i="1"/>
  <c r="K96" i="1"/>
  <c r="J96" i="1"/>
  <c r="I96" i="1"/>
  <c r="H96" i="1"/>
  <c r="G96" i="1"/>
  <c r="E96" i="1"/>
  <c r="D96" i="1"/>
  <c r="C96" i="1"/>
  <c r="N96" i="1" s="1"/>
  <c r="B96" i="1"/>
  <c r="N95" i="1"/>
  <c r="L95" i="1"/>
  <c r="N94" i="1"/>
  <c r="L94" i="1"/>
  <c r="C94" i="1"/>
  <c r="M93" i="1"/>
  <c r="K93" i="1"/>
  <c r="E93" i="1"/>
  <c r="D93" i="1"/>
  <c r="N93" i="1" s="1"/>
  <c r="N92" i="1"/>
  <c r="L92" i="1"/>
  <c r="H92" i="1"/>
  <c r="K91" i="1"/>
  <c r="N91" i="1" s="1"/>
  <c r="M90" i="1"/>
  <c r="L90" i="1"/>
  <c r="J90" i="1"/>
  <c r="I90" i="1"/>
  <c r="H90" i="1"/>
  <c r="G90" i="1"/>
  <c r="F90" i="1"/>
  <c r="E90" i="1"/>
  <c r="D90" i="1"/>
  <c r="N90" i="1" s="1"/>
  <c r="M89" i="1"/>
  <c r="L89" i="1"/>
  <c r="K89" i="1"/>
  <c r="J89" i="1"/>
  <c r="I89" i="1"/>
  <c r="H89" i="1"/>
  <c r="G89" i="1"/>
  <c r="F89" i="1"/>
  <c r="E89" i="1"/>
  <c r="D89" i="1"/>
  <c r="C89" i="1"/>
  <c r="B89" i="1"/>
  <c r="N89" i="1" s="1"/>
  <c r="M88" i="1"/>
  <c r="L88" i="1"/>
  <c r="K88" i="1"/>
  <c r="J88" i="1"/>
  <c r="I88" i="1"/>
  <c r="H88" i="1"/>
  <c r="G88" i="1"/>
  <c r="F88" i="1"/>
  <c r="E88" i="1"/>
  <c r="D88" i="1"/>
  <c r="C88" i="1"/>
  <c r="B88" i="1"/>
  <c r="N88" i="1" s="1"/>
  <c r="M87" i="1"/>
  <c r="L87" i="1"/>
  <c r="K87" i="1"/>
  <c r="J87" i="1"/>
  <c r="I87" i="1"/>
  <c r="H87" i="1"/>
  <c r="G87" i="1"/>
  <c r="F87" i="1"/>
  <c r="E87" i="1"/>
  <c r="D87" i="1"/>
  <c r="C87" i="1"/>
  <c r="B87" i="1"/>
  <c r="N87" i="1" s="1"/>
  <c r="M86" i="1"/>
  <c r="L86" i="1"/>
  <c r="K86" i="1"/>
  <c r="J86" i="1"/>
  <c r="I86" i="1"/>
  <c r="H86" i="1"/>
  <c r="G86" i="1"/>
  <c r="F86" i="1"/>
  <c r="E86" i="1"/>
  <c r="D86" i="1"/>
  <c r="C86" i="1"/>
  <c r="B86" i="1"/>
  <c r="N86" i="1" s="1"/>
  <c r="M85" i="1"/>
  <c r="L85" i="1"/>
  <c r="K85" i="1"/>
  <c r="J85" i="1"/>
  <c r="I85" i="1"/>
  <c r="H85" i="1"/>
  <c r="G85" i="1"/>
  <c r="F85" i="1"/>
  <c r="E85" i="1"/>
  <c r="D85" i="1"/>
  <c r="C85" i="1"/>
  <c r="B85" i="1"/>
  <c r="N85" i="1" s="1"/>
  <c r="M84" i="1"/>
  <c r="L84" i="1"/>
  <c r="K84" i="1"/>
  <c r="J84" i="1"/>
  <c r="N84" i="1" s="1"/>
  <c r="I84" i="1"/>
  <c r="M83" i="1"/>
  <c r="L83" i="1"/>
  <c r="K83" i="1"/>
  <c r="J83" i="1"/>
  <c r="I83" i="1"/>
  <c r="H83" i="1"/>
  <c r="G83" i="1"/>
  <c r="F83" i="1"/>
  <c r="E83" i="1"/>
  <c r="D83" i="1"/>
  <c r="C83" i="1"/>
  <c r="B83" i="1"/>
  <c r="N83" i="1" s="1"/>
  <c r="M82" i="1"/>
  <c r="L82" i="1"/>
  <c r="K82" i="1"/>
  <c r="J82" i="1"/>
  <c r="I82" i="1"/>
  <c r="H82" i="1"/>
  <c r="G82" i="1"/>
  <c r="F82" i="1"/>
  <c r="E82" i="1"/>
  <c r="D82" i="1"/>
  <c r="C82" i="1"/>
  <c r="B82" i="1"/>
  <c r="N82" i="1" s="1"/>
  <c r="M81" i="1"/>
  <c r="L81" i="1"/>
  <c r="K81" i="1"/>
  <c r="J81" i="1"/>
  <c r="I81" i="1"/>
  <c r="H81" i="1"/>
  <c r="F81" i="1"/>
  <c r="D81" i="1"/>
  <c r="N81" i="1" s="1"/>
  <c r="C81" i="1"/>
  <c r="B81" i="1"/>
  <c r="L80" i="1"/>
  <c r="F80" i="1"/>
  <c r="C80" i="1"/>
  <c r="N80" i="1" s="1"/>
  <c r="M79" i="1"/>
  <c r="L79" i="1"/>
  <c r="J79" i="1"/>
  <c r="I79" i="1"/>
  <c r="H79" i="1"/>
  <c r="G79" i="1"/>
  <c r="F79" i="1"/>
  <c r="E79" i="1"/>
  <c r="D79" i="1"/>
  <c r="C79" i="1"/>
  <c r="B79" i="1"/>
  <c r="N79" i="1" s="1"/>
  <c r="M78" i="1"/>
  <c r="L78" i="1"/>
  <c r="K78" i="1"/>
  <c r="I78" i="1"/>
  <c r="H78" i="1"/>
  <c r="E78" i="1"/>
  <c r="C78" i="1"/>
  <c r="B78" i="1"/>
  <c r="N78" i="1" s="1"/>
  <c r="M77" i="1"/>
  <c r="L77" i="1"/>
  <c r="G77" i="1"/>
  <c r="F77" i="1"/>
  <c r="N77" i="1" s="1"/>
  <c r="C77" i="1"/>
  <c r="L76" i="1"/>
  <c r="K76" i="1"/>
  <c r="N76" i="1" s="1"/>
  <c r="M75" i="1"/>
  <c r="L75" i="1"/>
  <c r="J75" i="1"/>
  <c r="G75" i="1"/>
  <c r="F75" i="1"/>
  <c r="D75" i="1"/>
  <c r="C75" i="1"/>
  <c r="N75" i="1" s="1"/>
  <c r="M74" i="1"/>
  <c r="L74" i="1"/>
  <c r="K74" i="1"/>
  <c r="J74" i="1"/>
  <c r="I74" i="1"/>
  <c r="H74" i="1"/>
  <c r="G74" i="1"/>
  <c r="F74" i="1"/>
  <c r="E74" i="1"/>
  <c r="D74" i="1"/>
  <c r="C74" i="1"/>
  <c r="B74" i="1"/>
  <c r="N74" i="1" s="1"/>
  <c r="M73" i="1"/>
  <c r="L73" i="1"/>
  <c r="K73" i="1"/>
  <c r="J73" i="1"/>
  <c r="I73" i="1"/>
  <c r="H73" i="1"/>
  <c r="G73" i="1"/>
  <c r="F73" i="1"/>
  <c r="E73" i="1"/>
  <c r="D73" i="1"/>
  <c r="C73" i="1"/>
  <c r="B73" i="1"/>
  <c r="N73" i="1" s="1"/>
  <c r="M72" i="1"/>
  <c r="L72" i="1"/>
  <c r="K72" i="1"/>
  <c r="J72" i="1"/>
  <c r="I72" i="1"/>
  <c r="H72" i="1"/>
  <c r="G72" i="1"/>
  <c r="F72" i="1"/>
  <c r="E72" i="1"/>
  <c r="D72" i="1"/>
  <c r="C72" i="1"/>
  <c r="B72" i="1"/>
  <c r="N72" i="1" s="1"/>
  <c r="M71" i="1"/>
  <c r="L71" i="1"/>
  <c r="K71" i="1"/>
  <c r="J71" i="1"/>
  <c r="I71" i="1"/>
  <c r="H71" i="1"/>
  <c r="G71" i="1"/>
  <c r="F71" i="1"/>
  <c r="E71" i="1"/>
  <c r="D71" i="1"/>
  <c r="C71" i="1"/>
  <c r="B71" i="1"/>
  <c r="N71" i="1" s="1"/>
  <c r="M70" i="1"/>
  <c r="L70" i="1"/>
  <c r="K70" i="1"/>
  <c r="J70" i="1"/>
  <c r="I70" i="1"/>
  <c r="H70" i="1"/>
  <c r="G70" i="1"/>
  <c r="F70" i="1"/>
  <c r="E70" i="1"/>
  <c r="D70" i="1"/>
  <c r="C70" i="1"/>
  <c r="B70" i="1"/>
  <c r="N70" i="1" s="1"/>
  <c r="M69" i="1"/>
  <c r="L69" i="1"/>
  <c r="K69" i="1"/>
  <c r="J69" i="1"/>
  <c r="I69" i="1"/>
  <c r="H69" i="1"/>
  <c r="G69" i="1"/>
  <c r="F69" i="1"/>
  <c r="E69" i="1"/>
  <c r="D69" i="1"/>
  <c r="C69" i="1"/>
  <c r="B69" i="1"/>
  <c r="N69" i="1" s="1"/>
  <c r="F68" i="1"/>
  <c r="N68" i="1" s="1"/>
  <c r="M67" i="1"/>
  <c r="L67" i="1"/>
  <c r="K67" i="1"/>
  <c r="J67" i="1"/>
  <c r="I67" i="1"/>
  <c r="H67" i="1"/>
  <c r="G67" i="1"/>
  <c r="G97" i="1" s="1"/>
  <c r="F67" i="1"/>
  <c r="E67" i="1"/>
  <c r="D67" i="1"/>
  <c r="C67" i="1"/>
  <c r="B67" i="1"/>
  <c r="N67" i="1" s="1"/>
  <c r="M66" i="1"/>
  <c r="L66" i="1"/>
  <c r="K66" i="1"/>
  <c r="J66" i="1"/>
  <c r="I66" i="1"/>
  <c r="H66" i="1"/>
  <c r="G66" i="1"/>
  <c r="F66" i="1"/>
  <c r="E66" i="1"/>
  <c r="D66" i="1"/>
  <c r="C66" i="1"/>
  <c r="B66" i="1"/>
  <c r="N66" i="1" s="1"/>
  <c r="L65" i="1"/>
  <c r="N65" i="1" s="1"/>
  <c r="L64" i="1"/>
  <c r="K64" i="1"/>
  <c r="I64" i="1"/>
  <c r="N64" i="1" s="1"/>
  <c r="C63" i="1"/>
  <c r="N63" i="1" s="1"/>
  <c r="M62" i="1"/>
  <c r="K62" i="1"/>
  <c r="J62" i="1"/>
  <c r="I62" i="1"/>
  <c r="D62" i="1"/>
  <c r="D97" i="1" s="1"/>
  <c r="C62" i="1"/>
  <c r="K61" i="1"/>
  <c r="H61" i="1"/>
  <c r="N61" i="1" s="1"/>
  <c r="F61" i="1"/>
  <c r="E60" i="1"/>
  <c r="C60" i="1"/>
  <c r="N60" i="1" s="1"/>
  <c r="M59" i="1"/>
  <c r="L59" i="1"/>
  <c r="K59" i="1"/>
  <c r="C59" i="1"/>
  <c r="B59" i="1"/>
  <c r="N59" i="1" s="1"/>
  <c r="M58" i="1"/>
  <c r="K58" i="1"/>
  <c r="I58" i="1"/>
  <c r="E58" i="1"/>
  <c r="C58" i="1"/>
  <c r="N58" i="1" s="1"/>
  <c r="B58" i="1"/>
  <c r="L57" i="1"/>
  <c r="K57" i="1"/>
  <c r="H57" i="1"/>
  <c r="G57" i="1"/>
  <c r="N57" i="1" s="1"/>
  <c r="F57" i="1"/>
  <c r="M56" i="1"/>
  <c r="K56" i="1"/>
  <c r="I56" i="1"/>
  <c r="C56" i="1"/>
  <c r="C97" i="1" s="1"/>
  <c r="B56" i="1"/>
  <c r="M55" i="1"/>
  <c r="L55" i="1"/>
  <c r="K55" i="1"/>
  <c r="H55" i="1"/>
  <c r="C55" i="1"/>
  <c r="B55" i="1"/>
  <c r="N55" i="1" s="1"/>
  <c r="L54" i="1"/>
  <c r="K54" i="1"/>
  <c r="I54" i="1"/>
  <c r="I97" i="1" s="1"/>
  <c r="G54" i="1"/>
  <c r="E54" i="1"/>
  <c r="C54" i="1"/>
  <c r="B54" i="1"/>
  <c r="N54" i="1" s="1"/>
  <c r="M53" i="1"/>
  <c r="M97" i="1" s="1"/>
  <c r="L53" i="1"/>
  <c r="L97" i="1" s="1"/>
  <c r="K53" i="1"/>
  <c r="K97" i="1" s="1"/>
  <c r="H53" i="1"/>
  <c r="E53" i="1"/>
  <c r="C53" i="1"/>
  <c r="B53" i="1"/>
  <c r="N53" i="1" s="1"/>
  <c r="K52" i="1"/>
  <c r="J52" i="1"/>
  <c r="J97" i="1" s="1"/>
  <c r="H52" i="1"/>
  <c r="H97" i="1" s="1"/>
  <c r="F52" i="1"/>
  <c r="F97" i="1" s="1"/>
  <c r="E52" i="1"/>
  <c r="E97" i="1" s="1"/>
  <c r="B52" i="1"/>
  <c r="B97" i="1" s="1"/>
  <c r="N97" i="1" s="1"/>
  <c r="N51" i="1"/>
  <c r="M49" i="1"/>
  <c r="L49" i="1"/>
  <c r="K49" i="1"/>
  <c r="J49" i="1"/>
  <c r="I49" i="1"/>
  <c r="H49" i="1"/>
  <c r="G49" i="1"/>
  <c r="F49" i="1"/>
  <c r="E49" i="1"/>
  <c r="D49" i="1"/>
  <c r="C49" i="1"/>
  <c r="B49" i="1"/>
  <c r="N49" i="1" s="1"/>
  <c r="M48" i="1"/>
  <c r="L48" i="1"/>
  <c r="K48" i="1"/>
  <c r="J48" i="1"/>
  <c r="I48" i="1"/>
  <c r="H48" i="1"/>
  <c r="G48" i="1"/>
  <c r="F48" i="1"/>
  <c r="E48" i="1"/>
  <c r="D48" i="1"/>
  <c r="C48" i="1"/>
  <c r="B48" i="1"/>
  <c r="N48" i="1" s="1"/>
  <c r="M47" i="1"/>
  <c r="L47" i="1"/>
  <c r="K47" i="1"/>
  <c r="J47" i="1"/>
  <c r="I47" i="1"/>
  <c r="H47" i="1"/>
  <c r="G47" i="1"/>
  <c r="F47" i="1"/>
  <c r="E47" i="1"/>
  <c r="D47" i="1"/>
  <c r="C47" i="1"/>
  <c r="B47" i="1"/>
  <c r="N47" i="1" s="1"/>
  <c r="M46" i="1"/>
  <c r="L46" i="1"/>
  <c r="K46" i="1"/>
  <c r="K50" i="1" s="1"/>
  <c r="K98" i="1" s="1"/>
  <c r="J46" i="1"/>
  <c r="I46" i="1"/>
  <c r="H46" i="1"/>
  <c r="G46" i="1"/>
  <c r="G50" i="1" s="1"/>
  <c r="G98" i="1" s="1"/>
  <c r="F46" i="1"/>
  <c r="E46" i="1"/>
  <c r="D46" i="1"/>
  <c r="C46" i="1"/>
  <c r="C50" i="1" s="1"/>
  <c r="C98" i="1" s="1"/>
  <c r="B46" i="1"/>
  <c r="N46" i="1" s="1"/>
  <c r="M45" i="1"/>
  <c r="L45" i="1"/>
  <c r="K45" i="1"/>
  <c r="J45" i="1"/>
  <c r="I45" i="1"/>
  <c r="H45" i="1"/>
  <c r="G45" i="1"/>
  <c r="F45" i="1"/>
  <c r="E45" i="1"/>
  <c r="D45" i="1"/>
  <c r="C45" i="1"/>
  <c r="B45" i="1"/>
  <c r="N45" i="1" s="1"/>
  <c r="M44" i="1"/>
  <c r="L44" i="1"/>
  <c r="K44" i="1"/>
  <c r="J44" i="1"/>
  <c r="I44" i="1"/>
  <c r="H44" i="1"/>
  <c r="G44" i="1"/>
  <c r="F44" i="1"/>
  <c r="E44" i="1"/>
  <c r="D44" i="1"/>
  <c r="C44" i="1"/>
  <c r="B44" i="1"/>
  <c r="N44" i="1" s="1"/>
  <c r="M43" i="1"/>
  <c r="L43" i="1"/>
  <c r="K43" i="1"/>
  <c r="J43" i="1"/>
  <c r="N43" i="1" s="1"/>
  <c r="I43" i="1"/>
  <c r="F43" i="1"/>
  <c r="M42" i="1"/>
  <c r="M50" i="1" s="1"/>
  <c r="M98" i="1" s="1"/>
  <c r="L42" i="1"/>
  <c r="L50" i="1" s="1"/>
  <c r="L98" i="1" s="1"/>
  <c r="K42" i="1"/>
  <c r="J42" i="1"/>
  <c r="J50" i="1" s="1"/>
  <c r="I42" i="1"/>
  <c r="I50" i="1" s="1"/>
  <c r="I98" i="1" s="1"/>
  <c r="H42" i="1"/>
  <c r="H50" i="1" s="1"/>
  <c r="H98" i="1" s="1"/>
  <c r="G42" i="1"/>
  <c r="F42" i="1"/>
  <c r="F50" i="1" s="1"/>
  <c r="E42" i="1"/>
  <c r="E50" i="1" s="1"/>
  <c r="E98" i="1" s="1"/>
  <c r="D42" i="1"/>
  <c r="D50" i="1" s="1"/>
  <c r="D98" i="1" s="1"/>
  <c r="C42" i="1"/>
  <c r="B42" i="1"/>
  <c r="B50" i="1" s="1"/>
  <c r="N41" i="1"/>
  <c r="N40" i="1"/>
  <c r="M35" i="1"/>
  <c r="L35" i="1"/>
  <c r="K35" i="1"/>
  <c r="J35" i="1"/>
  <c r="I35" i="1"/>
  <c r="H35" i="1"/>
  <c r="G35" i="1"/>
  <c r="F35" i="1"/>
  <c r="E35" i="1"/>
  <c r="D35" i="1"/>
  <c r="C35" i="1"/>
  <c r="N34" i="1"/>
  <c r="B34" i="1"/>
  <c r="N33" i="1"/>
  <c r="C33" i="1"/>
  <c r="B33" i="1"/>
  <c r="B32" i="1"/>
  <c r="N32" i="1" s="1"/>
  <c r="B31" i="1"/>
  <c r="B35" i="1" s="1"/>
  <c r="N35" i="1" s="1"/>
  <c r="N30" i="1"/>
  <c r="M29" i="1"/>
  <c r="L29" i="1"/>
  <c r="J29" i="1"/>
  <c r="H29" i="1"/>
  <c r="G29" i="1"/>
  <c r="F29" i="1"/>
  <c r="E29" i="1"/>
  <c r="D29" i="1"/>
  <c r="N29" i="1" s="1"/>
  <c r="C29" i="1"/>
  <c r="B29" i="1"/>
  <c r="K28" i="1"/>
  <c r="L27" i="1"/>
  <c r="J27" i="1"/>
  <c r="I27" i="1"/>
  <c r="H27" i="1"/>
  <c r="G27" i="1"/>
  <c r="F27" i="1"/>
  <c r="E27" i="1"/>
  <c r="D27" i="1"/>
  <c r="C27" i="1"/>
  <c r="M26" i="1"/>
  <c r="L26" i="1"/>
  <c r="I26" i="1"/>
  <c r="H26" i="1"/>
  <c r="G26" i="1"/>
  <c r="F26" i="1"/>
  <c r="E26" i="1"/>
  <c r="D26" i="1"/>
  <c r="C26" i="1"/>
  <c r="N26" i="1" s="1"/>
  <c r="M25" i="1"/>
  <c r="L25" i="1"/>
  <c r="I25" i="1"/>
  <c r="I28" i="1" s="1"/>
  <c r="I36" i="1" s="1"/>
  <c r="H25" i="1"/>
  <c r="G25" i="1"/>
  <c r="G28" i="1" s="1"/>
  <c r="E25" i="1"/>
  <c r="D25" i="1"/>
  <c r="C25" i="1"/>
  <c r="N25" i="1" s="1"/>
  <c r="M24" i="1"/>
  <c r="L24" i="1"/>
  <c r="I24" i="1"/>
  <c r="H24" i="1"/>
  <c r="G24" i="1"/>
  <c r="E24" i="1"/>
  <c r="E28" i="1" s="1"/>
  <c r="E36" i="1" s="1"/>
  <c r="D24" i="1"/>
  <c r="C24" i="1"/>
  <c r="C28" i="1" s="1"/>
  <c r="M23" i="1"/>
  <c r="L23" i="1"/>
  <c r="L28" i="1" s="1"/>
  <c r="J23" i="1"/>
  <c r="J28" i="1" s="1"/>
  <c r="I23" i="1"/>
  <c r="H23" i="1"/>
  <c r="H28" i="1" s="1"/>
  <c r="H36" i="1" s="1"/>
  <c r="G23" i="1"/>
  <c r="F23" i="1"/>
  <c r="F28" i="1" s="1"/>
  <c r="F36" i="1" s="1"/>
  <c r="E23" i="1"/>
  <c r="D23" i="1"/>
  <c r="D28" i="1" s="1"/>
  <c r="D36" i="1" s="1"/>
  <c r="C23" i="1"/>
  <c r="B23" i="1"/>
  <c r="B28" i="1" s="1"/>
  <c r="J22" i="1"/>
  <c r="H22" i="1"/>
  <c r="B22" i="1"/>
  <c r="N22" i="1" s="1"/>
  <c r="M21" i="1"/>
  <c r="M36" i="1" s="1"/>
  <c r="L21" i="1"/>
  <c r="K21" i="1"/>
  <c r="K36" i="1" s="1"/>
  <c r="H21" i="1"/>
  <c r="G21" i="1"/>
  <c r="G36" i="1" s="1"/>
  <c r="D21" i="1"/>
  <c r="C21" i="1"/>
  <c r="M19" i="1"/>
  <c r="L19" i="1"/>
  <c r="K19" i="1"/>
  <c r="J19" i="1"/>
  <c r="I19" i="1"/>
  <c r="H19" i="1"/>
  <c r="G19" i="1"/>
  <c r="F19" i="1"/>
  <c r="E19" i="1"/>
  <c r="D19" i="1"/>
  <c r="C19" i="1"/>
  <c r="B19" i="1"/>
  <c r="N19" i="1" s="1"/>
  <c r="M18" i="1"/>
  <c r="L18" i="1"/>
  <c r="K18" i="1"/>
  <c r="J18" i="1"/>
  <c r="I18" i="1"/>
  <c r="H18" i="1"/>
  <c r="G18" i="1"/>
  <c r="F18" i="1"/>
  <c r="E18" i="1"/>
  <c r="D18" i="1"/>
  <c r="C18" i="1"/>
  <c r="B18" i="1"/>
  <c r="N18" i="1" s="1"/>
  <c r="M17" i="1"/>
  <c r="L17" i="1"/>
  <c r="K17" i="1"/>
  <c r="J17" i="1"/>
  <c r="I17" i="1"/>
  <c r="H17" i="1"/>
  <c r="G17" i="1"/>
  <c r="F17" i="1"/>
  <c r="E17" i="1"/>
  <c r="D17" i="1"/>
  <c r="C17" i="1"/>
  <c r="B17" i="1"/>
  <c r="N17" i="1" s="1"/>
  <c r="M16" i="1"/>
  <c r="M20" i="1" s="1"/>
  <c r="L16" i="1"/>
  <c r="K16" i="1"/>
  <c r="J16" i="1"/>
  <c r="I16" i="1"/>
  <c r="I20" i="1" s="1"/>
  <c r="H16" i="1"/>
  <c r="G16" i="1"/>
  <c r="F16" i="1"/>
  <c r="E16" i="1"/>
  <c r="E20" i="1" s="1"/>
  <c r="D16" i="1"/>
  <c r="C16" i="1"/>
  <c r="B16" i="1"/>
  <c r="N16" i="1" s="1"/>
  <c r="M15" i="1"/>
  <c r="L15" i="1"/>
  <c r="K15" i="1"/>
  <c r="J15" i="1"/>
  <c r="I15" i="1"/>
  <c r="H15" i="1"/>
  <c r="G15" i="1"/>
  <c r="F15" i="1"/>
  <c r="E15" i="1"/>
  <c r="D15" i="1"/>
  <c r="C15" i="1"/>
  <c r="B15" i="1"/>
  <c r="N15" i="1" s="1"/>
  <c r="M14" i="1"/>
  <c r="L14" i="1"/>
  <c r="L20" i="1" s="1"/>
  <c r="K14" i="1"/>
  <c r="K20" i="1" s="1"/>
  <c r="J14" i="1"/>
  <c r="J20" i="1" s="1"/>
  <c r="I14" i="1"/>
  <c r="H14" i="1"/>
  <c r="H20" i="1" s="1"/>
  <c r="G14" i="1"/>
  <c r="G20" i="1" s="1"/>
  <c r="F14" i="1"/>
  <c r="F20" i="1" s="1"/>
  <c r="E14" i="1"/>
  <c r="D14" i="1"/>
  <c r="D20" i="1" s="1"/>
  <c r="C14" i="1"/>
  <c r="C20" i="1" s="1"/>
  <c r="B14" i="1"/>
  <c r="N14" i="1" s="1"/>
  <c r="M12" i="1"/>
  <c r="L12" i="1"/>
  <c r="K12" i="1"/>
  <c r="J12" i="1"/>
  <c r="I12" i="1"/>
  <c r="H12" i="1"/>
  <c r="G12" i="1"/>
  <c r="F12" i="1"/>
  <c r="E12" i="1"/>
  <c r="D12" i="1"/>
  <c r="C12" i="1"/>
  <c r="B12" i="1"/>
  <c r="N12" i="1" s="1"/>
  <c r="M11" i="1"/>
  <c r="L11" i="1"/>
  <c r="K11" i="1"/>
  <c r="J11" i="1"/>
  <c r="H11" i="1"/>
  <c r="G11" i="1"/>
  <c r="F11" i="1"/>
  <c r="E11" i="1"/>
  <c r="D11" i="1"/>
  <c r="C11" i="1"/>
  <c r="B11" i="1"/>
  <c r="N11" i="1" s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L13" i="1" s="1"/>
  <c r="K9" i="1"/>
  <c r="J9" i="1"/>
  <c r="J13" i="1" s="1"/>
  <c r="I9" i="1"/>
  <c r="H9" i="1"/>
  <c r="H13" i="1" s="1"/>
  <c r="H37" i="1" s="1"/>
  <c r="H38" i="1" s="1"/>
  <c r="G9" i="1"/>
  <c r="F9" i="1"/>
  <c r="F13" i="1" s="1"/>
  <c r="E9" i="1"/>
  <c r="D9" i="1"/>
  <c r="D13" i="1" s="1"/>
  <c r="D37" i="1" s="1"/>
  <c r="D38" i="1" s="1"/>
  <c r="C9" i="1"/>
  <c r="B9" i="1"/>
  <c r="B13" i="1" s="1"/>
  <c r="M8" i="1"/>
  <c r="L8" i="1"/>
  <c r="K8" i="1"/>
  <c r="K13" i="1" s="1"/>
  <c r="K37" i="1" s="1"/>
  <c r="K38" i="1" s="1"/>
  <c r="J8" i="1"/>
  <c r="I8" i="1"/>
  <c r="I13" i="1" s="1"/>
  <c r="I37" i="1" s="1"/>
  <c r="I38" i="1" s="1"/>
  <c r="H8" i="1"/>
  <c r="G8" i="1"/>
  <c r="G13" i="1" s="1"/>
  <c r="F8" i="1"/>
  <c r="E8" i="1"/>
  <c r="E13" i="1" s="1"/>
  <c r="E37" i="1" s="1"/>
  <c r="E38" i="1" s="1"/>
  <c r="D8" i="1"/>
  <c r="C8" i="1"/>
  <c r="C13" i="1" s="1"/>
  <c r="B8" i="1"/>
  <c r="N8" i="1" s="1"/>
  <c r="N7" i="1"/>
  <c r="M7" i="1"/>
  <c r="M13" i="1" s="1"/>
  <c r="G182" i="1" l="1"/>
  <c r="G183" i="1" s="1"/>
  <c r="G318" i="1" s="1"/>
  <c r="N151" i="1"/>
  <c r="N13" i="1"/>
  <c r="F37" i="1"/>
  <c r="F38" i="1" s="1"/>
  <c r="C36" i="1"/>
  <c r="N50" i="1"/>
  <c r="B98" i="1"/>
  <c r="F98" i="1"/>
  <c r="J98" i="1"/>
  <c r="D182" i="1"/>
  <c r="C37" i="1"/>
  <c r="C38" i="1" s="1"/>
  <c r="G37" i="1"/>
  <c r="G38" i="1" s="1"/>
  <c r="J36" i="1"/>
  <c r="J37" i="1" s="1"/>
  <c r="J38" i="1" s="1"/>
  <c r="E136" i="1"/>
  <c r="E182" i="1"/>
  <c r="I182" i="1"/>
  <c r="M37" i="1"/>
  <c r="M38" i="1" s="1"/>
  <c r="L37" i="1"/>
  <c r="L38" i="1" s="1"/>
  <c r="N28" i="1"/>
  <c r="B36" i="1"/>
  <c r="F136" i="1"/>
  <c r="J136" i="1"/>
  <c r="J183" i="1" s="1"/>
  <c r="K254" i="1"/>
  <c r="B114" i="1"/>
  <c r="N114" i="1" s="1"/>
  <c r="N130" i="1"/>
  <c r="N178" i="1"/>
  <c r="B20" i="1"/>
  <c r="N20" i="1" s="1"/>
  <c r="N21" i="1"/>
  <c r="N23" i="1"/>
  <c r="N42" i="1"/>
  <c r="N62" i="1"/>
  <c r="B107" i="1"/>
  <c r="D121" i="1"/>
  <c r="N121" i="1" s="1"/>
  <c r="H121" i="1"/>
  <c r="H136" i="1" s="1"/>
  <c r="H183" i="1" s="1"/>
  <c r="L121" i="1"/>
  <c r="L136" i="1" s="1"/>
  <c r="E128" i="1"/>
  <c r="I128" i="1"/>
  <c r="I136" i="1" s="1"/>
  <c r="I183" i="1" s="1"/>
  <c r="M128" i="1"/>
  <c r="M136" i="1" s="1"/>
  <c r="N127" i="1"/>
  <c r="B128" i="1"/>
  <c r="N131" i="1"/>
  <c r="B143" i="1"/>
  <c r="F143" i="1"/>
  <c r="F182" i="1" s="1"/>
  <c r="J143" i="1"/>
  <c r="J182" i="1" s="1"/>
  <c r="N144" i="1"/>
  <c r="N150" i="1"/>
  <c r="C157" i="1"/>
  <c r="C182" i="1" s="1"/>
  <c r="C183" i="1" s="1"/>
  <c r="G157" i="1"/>
  <c r="K157" i="1"/>
  <c r="K182" i="1" s="1"/>
  <c r="K183" i="1" s="1"/>
  <c r="N153" i="1"/>
  <c r="N154" i="1"/>
  <c r="N175" i="1"/>
  <c r="N181" i="1"/>
  <c r="N179" i="1"/>
  <c r="G254" i="1"/>
  <c r="N214" i="1"/>
  <c r="E239" i="1"/>
  <c r="N229" i="1"/>
  <c r="H312" i="1"/>
  <c r="N56" i="1"/>
  <c r="N135" i="1"/>
  <c r="H182" i="1"/>
  <c r="N315" i="1"/>
  <c r="N9" i="1"/>
  <c r="N24" i="1"/>
  <c r="N119" i="1"/>
  <c r="N123" i="1"/>
  <c r="N145" i="1"/>
  <c r="N148" i="1"/>
  <c r="N162" i="1"/>
  <c r="N159" i="1"/>
  <c r="G168" i="1"/>
  <c r="L168" i="1"/>
  <c r="L182" i="1" s="1"/>
  <c r="N166" i="1"/>
  <c r="N173" i="1"/>
  <c r="D254" i="1"/>
  <c r="N245" i="1"/>
  <c r="N152" i="1"/>
  <c r="N31" i="1"/>
  <c r="N52" i="1"/>
  <c r="N116" i="1"/>
  <c r="E151" i="1"/>
  <c r="N149" i="1"/>
  <c r="C168" i="1"/>
  <c r="N168" i="1" s="1"/>
  <c r="K168" i="1"/>
  <c r="E174" i="1"/>
  <c r="I174" i="1"/>
  <c r="M174" i="1"/>
  <c r="N174" i="1" s="1"/>
  <c r="N189" i="1"/>
  <c r="N192" i="1"/>
  <c r="J201" i="1"/>
  <c r="M201" i="1"/>
  <c r="M254" i="1" s="1"/>
  <c r="N208" i="1"/>
  <c r="B212" i="1"/>
  <c r="N212" i="1" s="1"/>
  <c r="L212" i="1"/>
  <c r="G239" i="1"/>
  <c r="G360" i="1"/>
  <c r="G363" i="1" s="1"/>
  <c r="G364" i="1" s="1"/>
  <c r="N191" i="1"/>
  <c r="J191" i="1"/>
  <c r="N185" i="1"/>
  <c r="N186" i="1"/>
  <c r="D201" i="1"/>
  <c r="H201" i="1"/>
  <c r="L201" i="1"/>
  <c r="B201" i="1"/>
  <c r="N215" i="1"/>
  <c r="N216" i="1"/>
  <c r="L233" i="1"/>
  <c r="L239" i="1" s="1"/>
  <c r="N230" i="1"/>
  <c r="N231" i="1"/>
  <c r="N246" i="1"/>
  <c r="N297" i="1"/>
  <c r="N304" i="1"/>
  <c r="H305" i="1"/>
  <c r="I354" i="1"/>
  <c r="I363" i="1" s="1"/>
  <c r="I364" i="1" s="1"/>
  <c r="E354" i="1"/>
  <c r="E363" i="1" s="1"/>
  <c r="E364" i="1" s="1"/>
  <c r="N328" i="1"/>
  <c r="N347" i="1"/>
  <c r="N139" i="1"/>
  <c r="N170" i="1"/>
  <c r="C254" i="1"/>
  <c r="N194" i="1"/>
  <c r="E207" i="1"/>
  <c r="E254" i="1" s="1"/>
  <c r="I207" i="1"/>
  <c r="I254" i="1" s="1"/>
  <c r="N206" i="1"/>
  <c r="B207" i="1"/>
  <c r="M233" i="1"/>
  <c r="M239" i="1" s="1"/>
  <c r="H233" i="1"/>
  <c r="H239" i="1" s="1"/>
  <c r="E245" i="1"/>
  <c r="I245" i="1"/>
  <c r="M245" i="1"/>
  <c r="I252" i="1"/>
  <c r="F252" i="1"/>
  <c r="N263" i="1"/>
  <c r="K274" i="1"/>
  <c r="K312" i="1" s="1"/>
  <c r="D273" i="1"/>
  <c r="H273" i="1"/>
  <c r="L273" i="1"/>
  <c r="L274" i="1" s="1"/>
  <c r="L312" i="1" s="1"/>
  <c r="B274" i="1"/>
  <c r="B312" i="1" s="1"/>
  <c r="C364" i="1"/>
  <c r="N322" i="1"/>
  <c r="B354" i="1"/>
  <c r="N326" i="1"/>
  <c r="N329" i="1"/>
  <c r="F354" i="1"/>
  <c r="J354" i="1"/>
  <c r="J363" i="1" s="1"/>
  <c r="N335" i="1"/>
  <c r="E219" i="1"/>
  <c r="N219" i="1" s="1"/>
  <c r="I219" i="1"/>
  <c r="M219" i="1"/>
  <c r="B226" i="1"/>
  <c r="F226" i="1"/>
  <c r="F239" i="1" s="1"/>
  <c r="F254" i="1" s="1"/>
  <c r="J226" i="1"/>
  <c r="J239" i="1" s="1"/>
  <c r="N223" i="1"/>
  <c r="N227" i="1"/>
  <c r="N228" i="1"/>
  <c r="E233" i="1"/>
  <c r="N233" i="1" s="1"/>
  <c r="I233" i="1"/>
  <c r="I239" i="1" s="1"/>
  <c r="B238" i="1"/>
  <c r="N238" i="1" s="1"/>
  <c r="N234" i="1"/>
  <c r="N241" i="1"/>
  <c r="N251" i="1"/>
  <c r="N252" i="1"/>
  <c r="N260" i="1"/>
  <c r="H274" i="1"/>
  <c r="B282" i="1"/>
  <c r="M311" i="1"/>
  <c r="M312" i="1" s="1"/>
  <c r="I311" i="1"/>
  <c r="N314" i="1"/>
  <c r="J315" i="1"/>
  <c r="K363" i="1"/>
  <c r="K364" i="1" s="1"/>
  <c r="N359" i="1"/>
  <c r="F360" i="1"/>
  <c r="N222" i="1"/>
  <c r="D274" i="1"/>
  <c r="D312" i="1" s="1"/>
  <c r="I274" i="1"/>
  <c r="I312" i="1" s="1"/>
  <c r="B273" i="1"/>
  <c r="F273" i="1"/>
  <c r="F274" i="1" s="1"/>
  <c r="F312" i="1" s="1"/>
  <c r="J273" i="1"/>
  <c r="J274" i="1" s="1"/>
  <c r="J312" i="1" s="1"/>
  <c r="N267" i="1"/>
  <c r="N271" i="1"/>
  <c r="N272" i="1"/>
  <c r="N277" i="1"/>
  <c r="N290" i="1"/>
  <c r="N291" i="1"/>
  <c r="N296" i="1"/>
  <c r="N299" i="1"/>
  <c r="N305" i="1"/>
  <c r="E311" i="1"/>
  <c r="E312" i="1" s="1"/>
  <c r="N310" i="1"/>
  <c r="E360" i="1"/>
  <c r="N357" i="1"/>
  <c r="N360" i="1"/>
  <c r="N255" i="1"/>
  <c r="N256" i="1"/>
  <c r="N261" i="1"/>
  <c r="N268" i="1"/>
  <c r="N279" i="1"/>
  <c r="C282" i="1"/>
  <c r="C312" i="1" s="1"/>
  <c r="I285" i="1"/>
  <c r="N285" i="1" s="1"/>
  <c r="N284" i="1"/>
  <c r="N286" i="1"/>
  <c r="N289" i="1"/>
  <c r="N288" i="1"/>
  <c r="N300" i="1"/>
  <c r="B311" i="1"/>
  <c r="F311" i="1"/>
  <c r="N321" i="1"/>
  <c r="J364" i="1"/>
  <c r="M354" i="1"/>
  <c r="M363" i="1" s="1"/>
  <c r="M364" i="1" s="1"/>
  <c r="N283" i="1"/>
  <c r="N301" i="1"/>
  <c r="N325" i="1"/>
  <c r="N312" i="1" l="1"/>
  <c r="H254" i="1"/>
  <c r="C318" i="1"/>
  <c r="L183" i="1"/>
  <c r="L318" i="1" s="1"/>
  <c r="L319" i="1" s="1"/>
  <c r="L365" i="1" s="1"/>
  <c r="H318" i="1"/>
  <c r="H319" i="1" s="1"/>
  <c r="H365" i="1" s="1"/>
  <c r="L254" i="1"/>
  <c r="K318" i="1"/>
  <c r="K319" i="1" s="1"/>
  <c r="K365" i="1" s="1"/>
  <c r="I318" i="1"/>
  <c r="I319" i="1" s="1"/>
  <c r="I365" i="1" s="1"/>
  <c r="N98" i="1"/>
  <c r="N273" i="1"/>
  <c r="N282" i="1"/>
  <c r="N354" i="1"/>
  <c r="B363" i="1"/>
  <c r="J254" i="1"/>
  <c r="F183" i="1"/>
  <c r="N36" i="1"/>
  <c r="D136" i="1"/>
  <c r="D183" i="1" s="1"/>
  <c r="D318" i="1" s="1"/>
  <c r="D319" i="1" s="1"/>
  <c r="D365" i="1" s="1"/>
  <c r="B37" i="1"/>
  <c r="B239" i="1"/>
  <c r="N239" i="1" s="1"/>
  <c r="N226" i="1"/>
  <c r="N143" i="1"/>
  <c r="B182" i="1"/>
  <c r="F363" i="1"/>
  <c r="F364" i="1" s="1"/>
  <c r="N207" i="1"/>
  <c r="N157" i="1"/>
  <c r="N128" i="1"/>
  <c r="B136" i="1"/>
  <c r="N107" i="1"/>
  <c r="M182" i="1"/>
  <c r="M183" i="1" s="1"/>
  <c r="M318" i="1" s="1"/>
  <c r="M319" i="1" s="1"/>
  <c r="M365" i="1" s="1"/>
  <c r="G319" i="1"/>
  <c r="G365" i="1" s="1"/>
  <c r="J318" i="1"/>
  <c r="J319" i="1" s="1"/>
  <c r="J365" i="1" s="1"/>
  <c r="N311" i="1"/>
  <c r="N274" i="1"/>
  <c r="N201" i="1"/>
  <c r="E183" i="1"/>
  <c r="E318" i="1" s="1"/>
  <c r="E319" i="1" s="1"/>
  <c r="E365" i="1" s="1"/>
  <c r="C319" i="1"/>
  <c r="C365" i="1" s="1"/>
  <c r="F318" i="1"/>
  <c r="F319" i="1" s="1"/>
  <c r="F365" i="1" s="1"/>
  <c r="N136" i="1" l="1"/>
  <c r="B183" i="1"/>
  <c r="B254" i="1"/>
  <c r="N254" i="1" s="1"/>
  <c r="N182" i="1"/>
  <c r="B38" i="1"/>
  <c r="N37" i="1"/>
  <c r="B364" i="1"/>
  <c r="N364" i="1" s="1"/>
  <c r="N183" i="1" l="1"/>
  <c r="B318" i="1"/>
  <c r="N318" i="1" s="1"/>
  <c r="B319" i="1"/>
  <c r="N38" i="1"/>
  <c r="B365" i="1" l="1"/>
  <c r="N365" i="1" s="1"/>
  <c r="N319" i="1"/>
</calcChain>
</file>

<file path=xl/sharedStrings.xml><?xml version="1.0" encoding="utf-8"?>
<sst xmlns="http://schemas.openxmlformats.org/spreadsheetml/2006/main" count="377" uniqueCount="272">
  <si>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</si>
  <si>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</si>
  <si>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</si>
  <si>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</si>
  <si>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</si>
  <si>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</si>
  <si>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</si>
  <si>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</si>
  <si>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</si>
  <si>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</si>
  <si>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</si>
  <si>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</si>
  <si>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Total</t>
  </si>
  <si>
    <t>Income</t>
  </si>
  <si>
    <t xml:space="preserve">   3000 Billings</t>
  </si>
  <si>
    <t xml:space="preserve">      Akron</t>
  </si>
  <si>
    <t xml:space="preserve">      Kent</t>
  </si>
  <si>
    <t xml:space="preserve">      Refractive</t>
  </si>
  <si>
    <t xml:space="preserve">      Stow</t>
  </si>
  <si>
    <t xml:space="preserve">      Warren</t>
  </si>
  <si>
    <t xml:space="preserve">   Total 3000 Billings</t>
  </si>
  <si>
    <t xml:space="preserve">   3500 Less - Allowance on Fees</t>
  </si>
  <si>
    <t xml:space="preserve">      Refractive-Discounts</t>
  </si>
  <si>
    <t xml:space="preserve">   Total 3500 Less - Allowance on Fees</t>
  </si>
  <si>
    <t xml:space="preserve">   3800 Misc Income</t>
  </si>
  <si>
    <t xml:space="preserve">      Credit Card Rewards</t>
  </si>
  <si>
    <t xml:space="preserve">      Misc Income</t>
  </si>
  <si>
    <t xml:space="preserve">         Kimberly A. Cingle</t>
  </si>
  <si>
    <t xml:space="preserve">         Lawrence E. Lohman</t>
  </si>
  <si>
    <t xml:space="preserve">         Marc F. Jones</t>
  </si>
  <si>
    <t xml:space="preserve">         Matthew C. Willett</t>
  </si>
  <si>
    <t xml:space="preserve">      Total Misc Income</t>
  </si>
  <si>
    <t xml:space="preserve">      Rental Income</t>
  </si>
  <si>
    <t xml:space="preserve">      Research Income</t>
  </si>
  <si>
    <t xml:space="preserve">      Total Research Income</t>
  </si>
  <si>
    <t xml:space="preserve">   Total 3800 Misc Income</t>
  </si>
  <si>
    <t>Total Income</t>
  </si>
  <si>
    <t>Gross Profit</t>
  </si>
  <si>
    <t>Expenses</t>
  </si>
  <si>
    <t xml:space="preserve">   4000 Physician Expenses</t>
  </si>
  <si>
    <t xml:space="preserve">      4100 Physicians' Salaries</t>
  </si>
  <si>
    <t xml:space="preserve">         Kimberly A Cingle</t>
  </si>
  <si>
    <t xml:space="preserve">         Marcella E. Pipitone</t>
  </si>
  <si>
    <t xml:space="preserve">         Payroll Accrual</t>
  </si>
  <si>
    <t xml:space="preserve">      Total 4100 Physicians' Salaries</t>
  </si>
  <si>
    <t xml:space="preserve">      4200 Physician Benefits</t>
  </si>
  <si>
    <t xml:space="preserve">         Disability Insurance - EDM</t>
  </si>
  <si>
    <t xml:space="preserve">         Dues &amp; Subscriptions - EDM</t>
  </si>
  <si>
    <t xml:space="preserve">         Dues &amp; Subscriptions - KAC</t>
  </si>
  <si>
    <t xml:space="preserve">         Dues &amp; Subscriptions - KLG</t>
  </si>
  <si>
    <t xml:space="preserve">         Dues &amp; Subscriptions - WRR</t>
  </si>
  <si>
    <t xml:space="preserve">         Dues and Subscriptions - ESE</t>
  </si>
  <si>
    <t xml:space="preserve">         Dues and Subscriptions - KRH</t>
  </si>
  <si>
    <t xml:space="preserve">         Dues and Subscriptions - MEP</t>
  </si>
  <si>
    <t xml:space="preserve">         Education - EDM</t>
  </si>
  <si>
    <t xml:space="preserve">         Education - ESE</t>
  </si>
  <si>
    <t xml:space="preserve">         Education - KLG</t>
  </si>
  <si>
    <t xml:space="preserve">         Education - KRH</t>
  </si>
  <si>
    <t xml:space="preserve">         Education - MEP</t>
  </si>
  <si>
    <t xml:space="preserve">         Education - WRR</t>
  </si>
  <si>
    <t xml:space="preserve">         Health Ins. -  Other Physicians</t>
  </si>
  <si>
    <t xml:space="preserve">         Malpractice Insurance - EDM</t>
  </si>
  <si>
    <t xml:space="preserve">         Malpractice Insurance - ESE</t>
  </si>
  <si>
    <t xml:space="preserve">         Malpractice Insurance - KAC</t>
  </si>
  <si>
    <t xml:space="preserve">         Malpractice Insurance - KLG</t>
  </si>
  <si>
    <t xml:space="preserve">         Malpractice Insurance - KRH</t>
  </si>
  <si>
    <t xml:space="preserve">         Malpractice Insurance - MEP</t>
  </si>
  <si>
    <t xml:space="preserve">         Malpractice Insurance - WRR</t>
  </si>
  <si>
    <t xml:space="preserve">         Matching Contribut - Physicians</t>
  </si>
  <si>
    <t xml:space="preserve">         Meals &amp; Entertainment - EDM</t>
  </si>
  <si>
    <t xml:space="preserve">         Meals &amp; Entertainment - ESE</t>
  </si>
  <si>
    <t xml:space="preserve">         Meals &amp; Entertainment - KAC</t>
  </si>
  <si>
    <t xml:space="preserve">         Meals &amp; Entertainment - KLG</t>
  </si>
  <si>
    <t xml:space="preserve">         Meals &amp; Entertainment - KRH</t>
  </si>
  <si>
    <t xml:space="preserve">         Meals &amp; Entertainment - MEP</t>
  </si>
  <si>
    <t xml:space="preserve">         Meals &amp; Entertainment - WRR</t>
  </si>
  <si>
    <t xml:space="preserve">         Payroll Taxes - Physicians</t>
  </si>
  <si>
    <t xml:space="preserve">         Telephone - EDM</t>
  </si>
  <si>
    <t xml:space="preserve">         Telephone - ESE</t>
  </si>
  <si>
    <t xml:space="preserve">         Telephone - KAC</t>
  </si>
  <si>
    <t xml:space="preserve">         Telephone - KLG</t>
  </si>
  <si>
    <t xml:space="preserve">         Telephone - KRH</t>
  </si>
  <si>
    <t xml:space="preserve">         Telephone - MEP</t>
  </si>
  <si>
    <t xml:space="preserve">         Telephone - WRR</t>
  </si>
  <si>
    <t xml:space="preserve">         Travel - EDM</t>
  </si>
  <si>
    <t xml:space="preserve">         Travel - ESE</t>
  </si>
  <si>
    <t xml:space="preserve">         Travel - KAC</t>
  </si>
  <si>
    <t xml:space="preserve">         Travel - KLG</t>
  </si>
  <si>
    <t xml:space="preserve">         Travel - KRH</t>
  </si>
  <si>
    <t xml:space="preserve">         Travel - MEP</t>
  </si>
  <si>
    <t xml:space="preserve">         Uniform Allow - Other Physician</t>
  </si>
  <si>
    <t xml:space="preserve">      Total 4200 Physician Benefits</t>
  </si>
  <si>
    <t xml:space="preserve">   Total 4000 Physician Expenses</t>
  </si>
  <si>
    <t xml:space="preserve">   4500 Non-Physician Employee Expenses</t>
  </si>
  <si>
    <t xml:space="preserve">      4600 Salaries</t>
  </si>
  <si>
    <t xml:space="preserve">         Accounting &amp; Billing</t>
  </si>
  <si>
    <t xml:space="preserve">            Akron</t>
  </si>
  <si>
    <t xml:space="preserve">            Kent</t>
  </si>
  <si>
    <t xml:space="preserve">            Payroll Accrual</t>
  </si>
  <si>
    <t xml:space="preserve">            Refractive</t>
  </si>
  <si>
    <t xml:space="preserve">            Stow</t>
  </si>
  <si>
    <t xml:space="preserve">         Total Accounting &amp; Billing</t>
  </si>
  <si>
    <t xml:space="preserve">         Administrative Salaries</t>
  </si>
  <si>
    <t xml:space="preserve">         Total Administrative Salaries</t>
  </si>
  <si>
    <t xml:space="preserve">         Front Desk</t>
  </si>
  <si>
    <t xml:space="preserve">         Total Front Desk</t>
  </si>
  <si>
    <t xml:space="preserve">         Medical Support Salaries</t>
  </si>
  <si>
    <t xml:space="preserve">         Total Medical Support Salaries</t>
  </si>
  <si>
    <t xml:space="preserve">         Surgical Counselors</t>
  </si>
  <si>
    <t xml:space="preserve">         Total Surgical Counselors</t>
  </si>
  <si>
    <t xml:space="preserve">      Total 4600 Salaries</t>
  </si>
  <si>
    <t xml:space="preserve">      4700 Employee Benefits</t>
  </si>
  <si>
    <t xml:space="preserve">         Auto Expense</t>
  </si>
  <si>
    <t xml:space="preserve">         Total Auto Expense</t>
  </si>
  <si>
    <t xml:space="preserve">         Dues and Subscriptions</t>
  </si>
  <si>
    <t xml:space="preserve">         Total Dues and Subscriptions</t>
  </si>
  <si>
    <t xml:space="preserve">         Education and Seminars</t>
  </si>
  <si>
    <t xml:space="preserve">            Education and Seminars Non-Recurring</t>
  </si>
  <si>
    <t xml:space="preserve">         Total Education and Seminars</t>
  </si>
  <si>
    <t xml:space="preserve">         Health Insurance</t>
  </si>
  <si>
    <t xml:space="preserve">         Total Health Insurance</t>
  </si>
  <si>
    <t xml:space="preserve">         Matching Contributions</t>
  </si>
  <si>
    <t xml:space="preserve">         Total Matching Contributions</t>
  </si>
  <si>
    <t xml:space="preserve">         Meals and Entertainment</t>
  </si>
  <si>
    <t xml:space="preserve">            Administration</t>
  </si>
  <si>
    <t xml:space="preserve">            Meals &amp; Entertainment Non-Recurring</t>
  </si>
  <si>
    <t xml:space="preserve">         Total Meals and Entertainment</t>
  </si>
  <si>
    <t xml:space="preserve">         Payroll Taxes</t>
  </si>
  <si>
    <t xml:space="preserve">         Total Payroll Taxes</t>
  </si>
  <si>
    <t xml:space="preserve">         Travel</t>
  </si>
  <si>
    <t xml:space="preserve">         Total Travel</t>
  </si>
  <si>
    <t xml:space="preserve">         Uniform Allowance</t>
  </si>
  <si>
    <t xml:space="preserve">         Total Uniform Allowance</t>
  </si>
  <si>
    <t xml:space="preserve">      Total 4700 Employee Benefits</t>
  </si>
  <si>
    <t xml:space="preserve">   Total 4500 Non-Physician Employee Expenses</t>
  </si>
  <si>
    <t xml:space="preserve">   5000 Physical Resources Expense</t>
  </si>
  <si>
    <t xml:space="preserve">      5100 Drugs &amp; Medications</t>
  </si>
  <si>
    <t xml:space="preserve">         Akron</t>
  </si>
  <si>
    <t xml:space="preserve">         Kent</t>
  </si>
  <si>
    <t xml:space="preserve">         Refractive</t>
  </si>
  <si>
    <t xml:space="preserve">         Retina</t>
  </si>
  <si>
    <t xml:space="preserve">         Stow</t>
  </si>
  <si>
    <t xml:space="preserve">      Total 5100 Drugs &amp; Medications</t>
  </si>
  <si>
    <t xml:space="preserve">      5150 Medical Supplies</t>
  </si>
  <si>
    <t xml:space="preserve">         Contact Lenses</t>
  </si>
  <si>
    <t xml:space="preserve">         Medical Supplies- Non-Recurring</t>
  </si>
  <si>
    <t xml:space="preserve">         Vitamins</t>
  </si>
  <si>
    <t xml:space="preserve">      Total 5150 Medical Supplies</t>
  </si>
  <si>
    <t xml:space="preserve">      5175 Office Supplies</t>
  </si>
  <si>
    <t xml:space="preserve">         Office Supplies Non-Recurring</t>
  </si>
  <si>
    <t xml:space="preserve">      Total 5175 Office Supplies</t>
  </si>
  <si>
    <t xml:space="preserve">      5200 Equipment Rental</t>
  </si>
  <si>
    <t xml:space="preserve">      Total 5200 Equipment Rental</t>
  </si>
  <si>
    <t xml:space="preserve">      5225 Depreciation</t>
  </si>
  <si>
    <t xml:space="preserve">         Retina Equipment</t>
  </si>
  <si>
    <t xml:space="preserve">      Total 5225 Depreciation</t>
  </si>
  <si>
    <t xml:space="preserve">      5250 Occupancy and Use Expenses</t>
  </si>
  <si>
    <t xml:space="preserve">         Building Rent</t>
  </si>
  <si>
    <t xml:space="preserve">            Warren</t>
  </si>
  <si>
    <t xml:space="preserve">         Total Building Rent</t>
  </si>
  <si>
    <t xml:space="preserve">         Real Estate Taxes</t>
  </si>
  <si>
    <t xml:space="preserve">         Repairs and Maintenance</t>
  </si>
  <si>
    <t xml:space="preserve">            Repairs and Maintenance- Non-Recurring</t>
  </si>
  <si>
    <t xml:space="preserve">         Total Repairs and Maintenance</t>
  </si>
  <si>
    <t xml:space="preserve">         Utilities</t>
  </si>
  <si>
    <t xml:space="preserve">         Total Utilities</t>
  </si>
  <si>
    <t xml:space="preserve">      Total 5250 Occupancy and Use Expenses</t>
  </si>
  <si>
    <t xml:space="preserve">      Laser Facility Usage Fees</t>
  </si>
  <si>
    <t xml:space="preserve">         Intralase - LVC Femtolaser</t>
  </si>
  <si>
    <t xml:space="preserve">         Lasik - Excimer Laser</t>
  </si>
  <si>
    <t xml:space="preserve">         Refractive Cataract Laser- Lensx</t>
  </si>
  <si>
    <t xml:space="preserve">         St. Clare Facility Fee</t>
  </si>
  <si>
    <t xml:space="preserve">      Total Laser Facility Usage Fees</t>
  </si>
  <si>
    <t xml:space="preserve">      Medical Equipment Maintenance</t>
  </si>
  <si>
    <t xml:space="preserve">         Medical Equipment Maint- Non-Recurring</t>
  </si>
  <si>
    <t xml:space="preserve">      Total Medical Equipment Maintenance</t>
  </si>
  <si>
    <t xml:space="preserve">      Stationery &amp; Printing</t>
  </si>
  <si>
    <t xml:space="preserve">   Total 5000 Physical Resources Expense</t>
  </si>
  <si>
    <t xml:space="preserve">   5500 General and Admin Expenses</t>
  </si>
  <si>
    <t xml:space="preserve">      5525 Advertising and Promotion</t>
  </si>
  <si>
    <t xml:space="preserve">         Patient Information Materials</t>
  </si>
  <si>
    <t xml:space="preserve">      Total 5525 Advertising and Promotion</t>
  </si>
  <si>
    <t xml:space="preserve">      5550 Bank Charges</t>
  </si>
  <si>
    <t xml:space="preserve">      Total 5550 Bank Charges</t>
  </si>
  <si>
    <t xml:space="preserve">      5575 Charitable Contributions</t>
  </si>
  <si>
    <t xml:space="preserve">      5600 Data Processing</t>
  </si>
  <si>
    <t xml:space="preserve">         5625 Computer Supplies</t>
  </si>
  <si>
    <t xml:space="preserve">         5650 Computer Maintenance &amp; Training</t>
  </si>
  <si>
    <t xml:space="preserve">            Computer Maintenance &amp; Training Non-Recurring</t>
  </si>
  <si>
    <t xml:space="preserve">         Total 5650 Computer Maintenance &amp; Training</t>
  </si>
  <si>
    <t xml:space="preserve">      Total 5600 Data Processing</t>
  </si>
  <si>
    <t xml:space="preserve">      5665 Dues and Subscriptions</t>
  </si>
  <si>
    <t xml:space="preserve">      Total 5665 Dues and Subscriptions</t>
  </si>
  <si>
    <t xml:space="preserve">      5675 Insurance</t>
  </si>
  <si>
    <t xml:space="preserve">      Total 5675 Insurance</t>
  </si>
  <si>
    <t xml:space="preserve">      5700 Legal Fees</t>
  </si>
  <si>
    <t xml:space="preserve">         Legal Fees- Non-Recurring</t>
  </si>
  <si>
    <t xml:space="preserve">      Total 5700 Legal Fees</t>
  </si>
  <si>
    <t xml:space="preserve">      5735 Licenses and Fees</t>
  </si>
  <si>
    <t xml:space="preserve">      5750 Malpractice Insurance</t>
  </si>
  <si>
    <t xml:space="preserve">      Total 5750 Malpractice Insurance</t>
  </si>
  <si>
    <t xml:space="preserve">      5775 Outside Services</t>
  </si>
  <si>
    <t xml:space="preserve">         Outside Services- Non-Recurring</t>
  </si>
  <si>
    <t xml:space="preserve">         Professional</t>
  </si>
  <si>
    <t xml:space="preserve">      Total 5775 Outside Services</t>
  </si>
  <si>
    <t xml:space="preserve">      5800 Professional Fees - Medical</t>
  </si>
  <si>
    <t xml:space="preserve">      5825 Ohio CAT Tax</t>
  </si>
  <si>
    <t xml:space="preserve">      5850 Recruiting Expenses</t>
  </si>
  <si>
    <t xml:space="preserve">      5875 Postage and Freight</t>
  </si>
  <si>
    <t xml:space="preserve">      Total 5875 Postage and Freight</t>
  </si>
  <si>
    <t xml:space="preserve">      5900 Telephone</t>
  </si>
  <si>
    <t xml:space="preserve">      Total 5900 Telephone</t>
  </si>
  <si>
    <t xml:space="preserve">   Total 5500 General and Admin Expenses</t>
  </si>
  <si>
    <t xml:space="preserve">   6000 Staff Recognition</t>
  </si>
  <si>
    <t xml:space="preserve">      Staff Recognition- Non-Recurring</t>
  </si>
  <si>
    <t xml:space="preserve">   Total 6000 Staff Recognition</t>
  </si>
  <si>
    <t xml:space="preserve">   6999 Uncategorized Expense</t>
  </si>
  <si>
    <t xml:space="preserve">   Comanaged Refractive Prof Fees</t>
  </si>
  <si>
    <t>Total Expenses</t>
  </si>
  <si>
    <t>Net Operating Income</t>
  </si>
  <si>
    <t>Other Income</t>
  </si>
  <si>
    <t xml:space="preserve">   Interest Income</t>
  </si>
  <si>
    <t>Total Other Income</t>
  </si>
  <si>
    <t>Other Expenses</t>
  </si>
  <si>
    <t xml:space="preserve">   6500 Owner's Expense</t>
  </si>
  <si>
    <t xml:space="preserve">      Disability Insurance - LEL</t>
  </si>
  <si>
    <t xml:space="preserve">      Dues &amp; Subscriptions - LEL</t>
  </si>
  <si>
    <t xml:space="preserve">      Dues &amp; Subscriptions - MCW</t>
  </si>
  <si>
    <t xml:space="preserve">      Dues &amp; Subscriptions - MFJ</t>
  </si>
  <si>
    <t xml:space="preserve">      Health Ins. - Lawrence Lohman</t>
  </si>
  <si>
    <t xml:space="preserve">      Health Ins. - Marc Jones</t>
  </si>
  <si>
    <t xml:space="preserve">      Health Insurance - Matthew Willett</t>
  </si>
  <si>
    <t xml:space="preserve">      Lawrence E. Lohman</t>
  </si>
  <si>
    <t xml:space="preserve">      Lawrence Lohman - Owner's Bonus</t>
  </si>
  <si>
    <t xml:space="preserve">      LEL Deferred Compensation</t>
  </si>
  <si>
    <t xml:space="preserve">      Malpractice Insurance - LEL</t>
  </si>
  <si>
    <t xml:space="preserve">      Malpractice Insurance - MCW</t>
  </si>
  <si>
    <t xml:space="preserve">      Malpractice Insurance - MFJ</t>
  </si>
  <si>
    <t xml:space="preserve">      Marc F. Jones</t>
  </si>
  <si>
    <t xml:space="preserve">      Marc Jones - Owner's Bonus</t>
  </si>
  <si>
    <t xml:space="preserve">      Matthew C Willett</t>
  </si>
  <si>
    <t xml:space="preserve">      Matthew Willett - Owner's Bonus</t>
  </si>
  <si>
    <t xml:space="preserve">      MCW Deferred Compensation</t>
  </si>
  <si>
    <t xml:space="preserve">      Meals &amp; Entertainment - LEL</t>
  </si>
  <si>
    <t xml:space="preserve">      Meals &amp; Entertainment - MCW</t>
  </si>
  <si>
    <t xml:space="preserve">      Meals &amp; Entertainment - MFJ</t>
  </si>
  <si>
    <t xml:space="preserve">      MFJ Deferred Compensation</t>
  </si>
  <si>
    <t xml:space="preserve">      Payroll Accrual</t>
  </si>
  <si>
    <t xml:space="preserve">      Payroll Taxes - Owners</t>
  </si>
  <si>
    <t xml:space="preserve">      Telephone - LEL</t>
  </si>
  <si>
    <t xml:space="preserve">      Telephone - MFJ</t>
  </si>
  <si>
    <t xml:space="preserve">      Travel - LEL</t>
  </si>
  <si>
    <t xml:space="preserve">      Travel - MCW</t>
  </si>
  <si>
    <t xml:space="preserve">      Travel - MFJ</t>
  </si>
  <si>
    <t xml:space="preserve">   Total 6500 Owner's Expense</t>
  </si>
  <si>
    <t xml:space="preserve">   6800 City Income Tax Paid</t>
  </si>
  <si>
    <t xml:space="preserve">      Kent JEDD</t>
  </si>
  <si>
    <t xml:space="preserve">   Total 6800 City Income Tax Paid</t>
  </si>
  <si>
    <t xml:space="preserve">   6900 Interest Expense</t>
  </si>
  <si>
    <t xml:space="preserve">   6990 Late Payment Fees</t>
  </si>
  <si>
    <t>Total Other Expenses</t>
  </si>
  <si>
    <t>Net Other Income</t>
  </si>
  <si>
    <t>Net Income</t>
  </si>
  <si>
    <t>Monday, Jan 28, 2019 11:28:31 AM GMT-8 - Accrual Basis</t>
  </si>
  <si>
    <t>Profit and Loss</t>
  </si>
  <si>
    <t>January - December 2018</t>
  </si>
  <si>
    <t>CompanyName</t>
  </si>
  <si>
    <t xml:space="preserve">         Kleo K. Espazito</t>
  </si>
  <si>
    <t xml:space="preserve">         Katherine M.Hast</t>
  </si>
  <si>
    <t xml:space="preserve">         Marie L.Genger</t>
  </si>
  <si>
    <t xml:space="preserve">         Mikey D. Muckley</t>
  </si>
  <si>
    <t xml:space="preserve">         Ron R. Rudy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</si>
</sst>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topLeftCell="A13" workbookViewId="0">
      <selection activeCell="L37" sqref="L37"/>
    </sheetView>
  </sheetViews>
  <sheetFormatPr defaultRowHeight="14.4" x14ac:dyDescent="0.3"/>
  <cols>
    <col min="1" max="1" width="49.88671875" customWidth="1"/>
    <col min="2" max="3" width="11.21875" customWidth="1"/>
    <col min="4" max="4" width="12" customWidth="1"/>
    <col min="5" max="8" width="11.21875" customWidth="1"/>
    <col min="9" max="9" width="12" customWidth="1"/>
    <col min="10" max="10" width="11.21875" customWidth="1"/>
    <col min="11" max="11" width="12" customWidth="1"/>
    <col min="12" max="13" width="11.21875" customWidth="1"/>
    <col min="14" max="14" width="13.77734375" customWidth="1"/>
  </cols>
  <sheetData>
    <row r="1" spans="1:14" ht="17.399999999999999" x14ac:dyDescent="0.3">
      <c r="A1" s="10" t="s">
        <v>266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7.399999999999999" x14ac:dyDescent="0.3">
      <c r="A2" s="10" t="s">
        <v>264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">
      <c r="A3" s="11" t="s">
        <v>265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5" spans="1:14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</row>
    <row r="6" spans="1:14" x14ac:dyDescent="0.3">
      <c r="A6" s="3" t="s">
        <v>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3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>
        <f>0</f>
        <v>0</v>
      </c>
      <c r="N7" s="5">
        <f t="shared" ref="N7:N38" si="0">(((((((((((B7)+(C7))+(D7))+(E7))+(F7))+(G7))+(H7))+(I7))+(J7))+(K7))+(L7))+(M7)</f>
        <v>0</v>
      </c>
    </row>
    <row r="8" spans="1:14" x14ac:dyDescent="0.3">
      <c r="A8" s="3" t="s">
        <v>15</v>
      </c>
      <c r="B8" s="5">
        <f>271324.77</f>
        <v>271324.77</v>
      </c>
      <c r="C8" s="5">
        <f>231863.84</f>
        <v>231863.84</v>
      </c>
      <c r="D8" s="5">
        <f>321714.07</f>
        <v>321714.07</v>
      </c>
      <c r="E8" s="5">
        <f>310843.04</f>
        <v>310843.03999999998</v>
      </c>
      <c r="F8" s="5">
        <f>307111.01</f>
        <v>307111.01</v>
      </c>
      <c r="G8" s="5">
        <f>235961.12</f>
        <v>235961.12</v>
      </c>
      <c r="H8" s="5">
        <f>263186.16</f>
        <v>263186.15999999997</v>
      </c>
      <c r="I8" s="5">
        <f>327716.64</f>
        <v>327716.64</v>
      </c>
      <c r="J8" s="5">
        <f>275763.06</f>
        <v>275763.06</v>
      </c>
      <c r="K8" s="5">
        <f>368574.22</f>
        <v>368574.22</v>
      </c>
      <c r="L8" s="5">
        <f>310093.68</f>
        <v>310093.68</v>
      </c>
      <c r="M8" s="5">
        <f>313325.46</f>
        <v>313325.46000000002</v>
      </c>
      <c r="N8" s="5">
        <f t="shared" si="0"/>
        <v>3537477.07</v>
      </c>
    </row>
    <row r="9" spans="1:14" x14ac:dyDescent="0.3">
      <c r="A9" s="3" t="s">
        <v>16</v>
      </c>
      <c r="B9" s="5">
        <f>401388.8</f>
        <v>401388.79999999999</v>
      </c>
      <c r="C9" s="5">
        <f>354205.19</f>
        <v>354205.19</v>
      </c>
      <c r="D9" s="5">
        <f>369299.23</f>
        <v>369299.23</v>
      </c>
      <c r="E9" s="5">
        <f>339212</f>
        <v>339212</v>
      </c>
      <c r="F9" s="5">
        <f>402809.59</f>
        <v>402809.59</v>
      </c>
      <c r="G9" s="5">
        <f>397487.84</f>
        <v>397487.84</v>
      </c>
      <c r="H9" s="5">
        <f>423430.4</f>
        <v>423430.40000000002</v>
      </c>
      <c r="I9" s="5">
        <f>383963.64</f>
        <v>383963.64</v>
      </c>
      <c r="J9" s="5">
        <f>402318.07</f>
        <v>402318.07</v>
      </c>
      <c r="K9" s="5">
        <f>513408</f>
        <v>513408</v>
      </c>
      <c r="L9" s="5">
        <f>485321.8</f>
        <v>485321.8</v>
      </c>
      <c r="M9" s="5">
        <f>377525.61</f>
        <v>377525.61</v>
      </c>
      <c r="N9" s="5">
        <f t="shared" si="0"/>
        <v>4850370.17</v>
      </c>
    </row>
    <row r="10" spans="1:14" x14ac:dyDescent="0.3">
      <c r="A10" s="3" t="s">
        <v>17</v>
      </c>
      <c r="B10" s="5">
        <f>116785</f>
        <v>116785</v>
      </c>
      <c r="C10" s="5">
        <f>70950</f>
        <v>70950</v>
      </c>
      <c r="D10" s="5">
        <f>116000</f>
        <v>116000</v>
      </c>
      <c r="E10" s="5">
        <f>85450</f>
        <v>85450</v>
      </c>
      <c r="F10" s="5">
        <f>170750</f>
        <v>170750</v>
      </c>
      <c r="G10" s="5">
        <f>121100</f>
        <v>121100</v>
      </c>
      <c r="H10" s="5">
        <f>47630</f>
        <v>47630</v>
      </c>
      <c r="I10" s="5">
        <f>130785</f>
        <v>130785</v>
      </c>
      <c r="J10" s="5">
        <f>115485</f>
        <v>115485</v>
      </c>
      <c r="K10" s="5">
        <f>77320</f>
        <v>77320</v>
      </c>
      <c r="L10" s="5">
        <f>29300</f>
        <v>29300</v>
      </c>
      <c r="M10" s="5">
        <f>81640</f>
        <v>81640</v>
      </c>
      <c r="N10" s="5">
        <f t="shared" si="0"/>
        <v>1163195</v>
      </c>
    </row>
    <row r="11" spans="1:14" x14ac:dyDescent="0.3">
      <c r="A11" s="3" t="s">
        <v>18</v>
      </c>
      <c r="B11" s="5">
        <f>433295.47</f>
        <v>433295.47</v>
      </c>
      <c r="C11" s="5">
        <f>333579.32</f>
        <v>333579.32</v>
      </c>
      <c r="D11" s="5">
        <f>469559</f>
        <v>469559</v>
      </c>
      <c r="E11" s="5">
        <f>486680.82</f>
        <v>486680.82</v>
      </c>
      <c r="F11" s="5">
        <f>494925.36</f>
        <v>494925.36</v>
      </c>
      <c r="G11" s="5">
        <f>459131.89</f>
        <v>459131.89</v>
      </c>
      <c r="H11" s="5">
        <f>464437.19</f>
        <v>464437.19</v>
      </c>
      <c r="I11" s="5">
        <f>500000</f>
        <v>500000</v>
      </c>
      <c r="J11" s="5">
        <f>436250.47</f>
        <v>436250.47</v>
      </c>
      <c r="K11" s="5">
        <f>516276.51</f>
        <v>516276.51</v>
      </c>
      <c r="L11" s="5">
        <f>451263.25</f>
        <v>451263.25</v>
      </c>
      <c r="M11" s="5">
        <f>441289.15</f>
        <v>441289.15</v>
      </c>
      <c r="N11" s="5">
        <f t="shared" si="0"/>
        <v>5486688.4300000006</v>
      </c>
    </row>
    <row r="12" spans="1:14" x14ac:dyDescent="0.3">
      <c r="A12" s="3" t="s">
        <v>19</v>
      </c>
      <c r="B12" s="5">
        <f>12412.11</f>
        <v>12412.11</v>
      </c>
      <c r="C12" s="5">
        <f>15280.03</f>
        <v>15280.03</v>
      </c>
      <c r="D12" s="5">
        <f>25105.08</f>
        <v>25105.08</v>
      </c>
      <c r="E12" s="5">
        <f>33775.02</f>
        <v>33775.019999999997</v>
      </c>
      <c r="F12" s="5">
        <f>29989.07</f>
        <v>29989.07</v>
      </c>
      <c r="G12" s="5">
        <f>38779.07</f>
        <v>38779.07</v>
      </c>
      <c r="H12" s="5">
        <f>23189.01</f>
        <v>23189.01</v>
      </c>
      <c r="I12" s="5">
        <f>44359.16</f>
        <v>44359.16</v>
      </c>
      <c r="J12" s="5">
        <f>25333.06</f>
        <v>25333.06</v>
      </c>
      <c r="K12" s="5">
        <f>50557.08</f>
        <v>50557.08</v>
      </c>
      <c r="L12" s="5">
        <f>28411.2</f>
        <v>28411.200000000001</v>
      </c>
      <c r="M12" s="5">
        <f>43669.13</f>
        <v>43669.13</v>
      </c>
      <c r="N12" s="5">
        <f t="shared" si="0"/>
        <v>370859.02</v>
      </c>
    </row>
    <row r="13" spans="1:14" x14ac:dyDescent="0.3">
      <c r="A13" s="3" t="s">
        <v>20</v>
      </c>
      <c r="B13" s="6">
        <f t="shared" ref="B13:M13" si="1">(((((B7)+(B8))+(B9))+(B10))+(B11))+(B12)</f>
        <v>1235206.1500000001</v>
      </c>
      <c r="C13" s="6">
        <f t="shared" si="1"/>
        <v>1005878.3800000001</v>
      </c>
      <c r="D13" s="6">
        <f t="shared" si="1"/>
        <v>1301677.3800000001</v>
      </c>
      <c r="E13" s="6">
        <f t="shared" si="1"/>
        <v>1255960.8800000001</v>
      </c>
      <c r="F13" s="6">
        <f t="shared" si="1"/>
        <v>1405585.03</v>
      </c>
      <c r="G13" s="6">
        <f t="shared" si="1"/>
        <v>1252459.9200000002</v>
      </c>
      <c r="H13" s="6">
        <f t="shared" si="1"/>
        <v>1221872.76</v>
      </c>
      <c r="I13" s="6">
        <f t="shared" si="1"/>
        <v>1386824.44</v>
      </c>
      <c r="J13" s="6">
        <f t="shared" si="1"/>
        <v>1255149.6600000001</v>
      </c>
      <c r="K13" s="6">
        <f t="shared" si="1"/>
        <v>1526135.81</v>
      </c>
      <c r="L13" s="6">
        <f t="shared" si="1"/>
        <v>1304389.93</v>
      </c>
      <c r="M13" s="6">
        <f t="shared" si="1"/>
        <v>1257449.3500000001</v>
      </c>
      <c r="N13" s="6">
        <f t="shared" si="0"/>
        <v>15408589.689999999</v>
      </c>
    </row>
    <row r="14" spans="1:14" x14ac:dyDescent="0.3">
      <c r="A14" s="3" t="s">
        <v>21</v>
      </c>
      <c r="B14" s="5">
        <f>-29862.75</f>
        <v>-29862.75</v>
      </c>
      <c r="C14" s="5">
        <f>-90</f>
        <v>-90</v>
      </c>
      <c r="D14" s="5">
        <f>-22895.6</f>
        <v>-22895.599999999999</v>
      </c>
      <c r="E14" s="5">
        <f>-20808.05</f>
        <v>-20808.05</v>
      </c>
      <c r="F14" s="5">
        <f>-3403.8</f>
        <v>-3403.8</v>
      </c>
      <c r="G14" s="5">
        <f>-35720.69</f>
        <v>-35720.69</v>
      </c>
      <c r="H14" s="5">
        <f>-7162.42</f>
        <v>-7162.42</v>
      </c>
      <c r="I14" s="5">
        <f>-43437.84</f>
        <v>-43437.84</v>
      </c>
      <c r="J14" s="5">
        <f>-31722.66</f>
        <v>-31722.66</v>
      </c>
      <c r="K14" s="5">
        <f>0</f>
        <v>0</v>
      </c>
      <c r="L14" s="5">
        <f>-33448.68</f>
        <v>-33448.68</v>
      </c>
      <c r="M14" s="5">
        <f>-444.7</f>
        <v>-444.7</v>
      </c>
      <c r="N14" s="5">
        <f t="shared" si="0"/>
        <v>-228997.19</v>
      </c>
    </row>
    <row r="15" spans="1:14" x14ac:dyDescent="0.3">
      <c r="A15" s="3" t="s">
        <v>15</v>
      </c>
      <c r="B15" s="5">
        <f>-112570.06</f>
        <v>-112570.06</v>
      </c>
      <c r="C15" s="5">
        <f>-85802.89</f>
        <v>-85802.89</v>
      </c>
      <c r="D15" s="5">
        <f>-113817.43</f>
        <v>-113817.43</v>
      </c>
      <c r="E15" s="5">
        <f>-106879.38</f>
        <v>-106879.38</v>
      </c>
      <c r="F15" s="5">
        <f>-111147.55</f>
        <v>-111147.55</v>
      </c>
      <c r="G15" s="5">
        <f>-97771.6</f>
        <v>-97771.6</v>
      </c>
      <c r="H15" s="5">
        <f>-89122.38</f>
        <v>-89122.38</v>
      </c>
      <c r="I15" s="5">
        <f>-109697.65</f>
        <v>-109697.65</v>
      </c>
      <c r="J15" s="5">
        <f>-105297.55</f>
        <v>-105297.55</v>
      </c>
      <c r="K15" s="5">
        <f>-136434.71</f>
        <v>-136434.71</v>
      </c>
      <c r="L15" s="5">
        <f>-113384.93</f>
        <v>-113384.93</v>
      </c>
      <c r="M15" s="5">
        <f>-112235.73</f>
        <v>-112235.73</v>
      </c>
      <c r="N15" s="5">
        <f t="shared" si="0"/>
        <v>-1294161.8600000001</v>
      </c>
    </row>
    <row r="16" spans="1:14" x14ac:dyDescent="0.3">
      <c r="A16" s="3" t="s">
        <v>16</v>
      </c>
      <c r="B16" s="5">
        <f>-141591.15</f>
        <v>-141591.15</v>
      </c>
      <c r="C16" s="5">
        <f>-109003.22</f>
        <v>-109003.22</v>
      </c>
      <c r="D16" s="5">
        <f>-142837.25</f>
        <v>-142837.25</v>
      </c>
      <c r="E16" s="5">
        <f>-118151.17</f>
        <v>-118151.17</v>
      </c>
      <c r="F16" s="5">
        <f>-148736.56</f>
        <v>-148736.56</v>
      </c>
      <c r="G16" s="5">
        <f>-134351.44</f>
        <v>-134351.44</v>
      </c>
      <c r="H16" s="5">
        <f>-135394.94</f>
        <v>-135394.94</v>
      </c>
      <c r="I16" s="5">
        <f>-136793.47</f>
        <v>-136793.47</v>
      </c>
      <c r="J16" s="5">
        <f>-137975.28</f>
        <v>-137975.28</v>
      </c>
      <c r="K16" s="5">
        <f>-178968.71</f>
        <v>-178968.71</v>
      </c>
      <c r="L16" s="5">
        <f>-151811.62</f>
        <v>-151811.62</v>
      </c>
      <c r="M16" s="5">
        <f>-153307.08</f>
        <v>-153307.07999999999</v>
      </c>
      <c r="N16" s="5">
        <f t="shared" si="0"/>
        <v>-1688921.8900000001</v>
      </c>
    </row>
    <row r="17" spans="1:14" x14ac:dyDescent="0.3">
      <c r="A17" s="3" t="s">
        <v>22</v>
      </c>
      <c r="B17" s="5">
        <f>-22571.97</f>
        <v>-22571.97</v>
      </c>
      <c r="C17" s="5">
        <f>-15796.07</f>
        <v>-15796.07</v>
      </c>
      <c r="D17" s="5">
        <f>-26521.81</f>
        <v>-26521.81</v>
      </c>
      <c r="E17" s="5">
        <f>-11913.98</f>
        <v>-11913.98</v>
      </c>
      <c r="F17" s="5">
        <f>-31975.77</f>
        <v>-31975.77</v>
      </c>
      <c r="G17" s="5">
        <f>-16726.44</f>
        <v>-16726.439999999999</v>
      </c>
      <c r="H17" s="5">
        <f>-4732.62</f>
        <v>-4732.62</v>
      </c>
      <c r="I17" s="5">
        <f>-15849.33</f>
        <v>-15849.33</v>
      </c>
      <c r="J17" s="5">
        <f>-12896.65</f>
        <v>-12896.65</v>
      </c>
      <c r="K17" s="5">
        <f>-4861.86</f>
        <v>-4861.8599999999997</v>
      </c>
      <c r="L17" s="5">
        <f>-9336.6</f>
        <v>-9336.6</v>
      </c>
      <c r="M17" s="5">
        <f>-14133.76</f>
        <v>-14133.76</v>
      </c>
      <c r="N17" s="5">
        <f t="shared" si="0"/>
        <v>-187316.86</v>
      </c>
    </row>
    <row r="18" spans="1:14" x14ac:dyDescent="0.3">
      <c r="A18" s="3" t="s">
        <v>18</v>
      </c>
      <c r="B18" s="5">
        <f>-157243.8</f>
        <v>-157243.79999999999</v>
      </c>
      <c r="C18" s="5">
        <f>-117699.15</f>
        <v>-117699.15</v>
      </c>
      <c r="D18" s="5">
        <f>-168376.37</f>
        <v>-168376.37</v>
      </c>
      <c r="E18" s="5">
        <f>-157726.72</f>
        <v>-157726.72</v>
      </c>
      <c r="F18" s="5">
        <f>-169443.2</f>
        <v>-169443.20000000001</v>
      </c>
      <c r="G18" s="5">
        <f>-140807.4</f>
        <v>-140807.4</v>
      </c>
      <c r="H18" s="5">
        <f>-150636.98</f>
        <v>-150636.98000000001</v>
      </c>
      <c r="I18" s="5">
        <f>-146299.87</f>
        <v>-146299.87</v>
      </c>
      <c r="J18" s="5">
        <f>-142895.01</f>
        <v>-142895.01</v>
      </c>
      <c r="K18" s="5">
        <f>-173846.47</f>
        <v>-173846.47</v>
      </c>
      <c r="L18" s="5">
        <f>-148573.09</f>
        <v>-148573.09</v>
      </c>
      <c r="M18" s="5">
        <f>-146393.92</f>
        <v>-146393.92000000001</v>
      </c>
      <c r="N18" s="5">
        <f t="shared" si="0"/>
        <v>-1819941.9800000002</v>
      </c>
    </row>
    <row r="19" spans="1:14" x14ac:dyDescent="0.3">
      <c r="A19" s="3" t="s">
        <v>19</v>
      </c>
      <c r="B19" s="5">
        <f>-3566.14</f>
        <v>-3566.14</v>
      </c>
      <c r="C19" s="5">
        <f>-3046.45</f>
        <v>-3046.45</v>
      </c>
      <c r="D19" s="5">
        <f>-6546.1</f>
        <v>-6546.1</v>
      </c>
      <c r="E19" s="5">
        <f>-3155.73</f>
        <v>-3155.73</v>
      </c>
      <c r="F19" s="5">
        <f>-5627.63</f>
        <v>-5627.63</v>
      </c>
      <c r="G19" s="5">
        <f>-3179.09</f>
        <v>-3179.09</v>
      </c>
      <c r="H19" s="5">
        <f>-5873.32</f>
        <v>-5873.32</v>
      </c>
      <c r="I19" s="5">
        <f>-7718.57</f>
        <v>-7718.57</v>
      </c>
      <c r="J19" s="5">
        <f>-1660.63</f>
        <v>-1660.63</v>
      </c>
      <c r="K19" s="5">
        <f>-4330.55</f>
        <v>-4330.55</v>
      </c>
      <c r="L19" s="5">
        <f>-7368.21</f>
        <v>-7368.21</v>
      </c>
      <c r="M19" s="5">
        <f>-12377.14</f>
        <v>-12377.14</v>
      </c>
      <c r="N19" s="5">
        <f t="shared" si="0"/>
        <v>-64449.56</v>
      </c>
    </row>
    <row r="20" spans="1:14" x14ac:dyDescent="0.3">
      <c r="A20" s="3" t="s">
        <v>23</v>
      </c>
      <c r="B20" s="6">
        <f t="shared" ref="B20:M20" si="2">(((((B14)+(B15))+(B16))+(B17))+(B18))+(B19)</f>
        <v>-467405.86999999994</v>
      </c>
      <c r="C20" s="6">
        <f t="shared" si="2"/>
        <v>-331437.77999999997</v>
      </c>
      <c r="D20" s="6">
        <f t="shared" si="2"/>
        <v>-480994.56</v>
      </c>
      <c r="E20" s="6">
        <f t="shared" si="2"/>
        <v>-418635.03</v>
      </c>
      <c r="F20" s="6">
        <f t="shared" si="2"/>
        <v>-470334.51000000007</v>
      </c>
      <c r="G20" s="6">
        <f t="shared" si="2"/>
        <v>-428556.66</v>
      </c>
      <c r="H20" s="6">
        <f t="shared" si="2"/>
        <v>-392922.66</v>
      </c>
      <c r="I20" s="6">
        <f t="shared" si="2"/>
        <v>-459796.73</v>
      </c>
      <c r="J20" s="6">
        <f t="shared" si="2"/>
        <v>-432447.78</v>
      </c>
      <c r="K20" s="6">
        <f t="shared" si="2"/>
        <v>-498442.3</v>
      </c>
      <c r="L20" s="6">
        <f t="shared" si="2"/>
        <v>-463923.12999999995</v>
      </c>
      <c r="M20" s="6">
        <f t="shared" si="2"/>
        <v>-438892.33000000007</v>
      </c>
      <c r="N20" s="6">
        <f t="shared" si="0"/>
        <v>-5283789.34</v>
      </c>
    </row>
    <row r="21" spans="1:14" x14ac:dyDescent="0.3">
      <c r="A21" s="3" t="s">
        <v>24</v>
      </c>
      <c r="B21" s="4"/>
      <c r="C21" s="5">
        <f>1500</f>
        <v>1500</v>
      </c>
      <c r="D21" s="5">
        <f>1584.5</f>
        <v>1584.5</v>
      </c>
      <c r="E21" s="4"/>
      <c r="F21" s="4"/>
      <c r="G21" s="5">
        <f>500</f>
        <v>500</v>
      </c>
      <c r="H21" s="5">
        <f>4454</f>
        <v>4454</v>
      </c>
      <c r="I21" s="4"/>
      <c r="J21" s="4"/>
      <c r="K21" s="5">
        <f>1.9</f>
        <v>1.9</v>
      </c>
      <c r="L21" s="5">
        <f>13.55</f>
        <v>13.55</v>
      </c>
      <c r="M21" s="5">
        <f>8.78</f>
        <v>8.7799999999999994</v>
      </c>
      <c r="N21" s="5">
        <f t="shared" si="0"/>
        <v>8062.73</v>
      </c>
    </row>
    <row r="22" spans="1:14" x14ac:dyDescent="0.3">
      <c r="A22" s="3" t="s">
        <v>25</v>
      </c>
      <c r="B22" s="5">
        <f>240.92</f>
        <v>240.92</v>
      </c>
      <c r="C22" s="4"/>
      <c r="D22" s="4"/>
      <c r="E22" s="4"/>
      <c r="F22" s="4"/>
      <c r="G22" s="4"/>
      <c r="H22" s="5">
        <f>1799.59</f>
        <v>1799.59</v>
      </c>
      <c r="I22" s="4"/>
      <c r="J22" s="5">
        <f>371.56</f>
        <v>371.56</v>
      </c>
      <c r="K22" s="4"/>
      <c r="L22" s="4"/>
      <c r="M22" s="4"/>
      <c r="N22" s="5">
        <f t="shared" si="0"/>
        <v>2412.0700000000002</v>
      </c>
    </row>
    <row r="23" spans="1:14" x14ac:dyDescent="0.3">
      <c r="A23" s="3" t="s">
        <v>26</v>
      </c>
      <c r="B23" s="5">
        <f>11.14</f>
        <v>11.14</v>
      </c>
      <c r="C23" s="5">
        <f>12.96</f>
        <v>12.96</v>
      </c>
      <c r="D23" s="5">
        <f>17.77</f>
        <v>17.77</v>
      </c>
      <c r="E23" s="5">
        <f>1585.64</f>
        <v>1585.64</v>
      </c>
      <c r="F23" s="5">
        <f>297.55</f>
        <v>297.55</v>
      </c>
      <c r="G23" s="5">
        <f>1849.77</f>
        <v>1849.77</v>
      </c>
      <c r="H23" s="5">
        <f>1879.8</f>
        <v>1879.8</v>
      </c>
      <c r="I23" s="5">
        <f>280</f>
        <v>280</v>
      </c>
      <c r="J23" s="5">
        <f>1073.52</f>
        <v>1073.52</v>
      </c>
      <c r="K23" s="4"/>
      <c r="L23" s="5">
        <f>11931.44</f>
        <v>11931.44</v>
      </c>
      <c r="M23" s="5">
        <f>464.57</f>
        <v>464.57</v>
      </c>
      <c r="N23" s="5">
        <f t="shared" si="0"/>
        <v>19404.16</v>
      </c>
    </row>
    <row r="24" spans="1:14" x14ac:dyDescent="0.3">
      <c r="A24" s="3" t="s">
        <v>27</v>
      </c>
      <c r="B24" s="4"/>
      <c r="C24" s="5">
        <f>729</f>
        <v>729</v>
      </c>
      <c r="D24" s="5">
        <f>253.8</f>
        <v>253.8</v>
      </c>
      <c r="E24" s="5">
        <f>1132.8</f>
        <v>1132.8</v>
      </c>
      <c r="F24" s="4"/>
      <c r="G24" s="5">
        <f>1249.5</f>
        <v>1249.5</v>
      </c>
      <c r="H24" s="5">
        <f>1210.2</f>
        <v>1210.2</v>
      </c>
      <c r="I24" s="5">
        <f>903</f>
        <v>903</v>
      </c>
      <c r="J24" s="4"/>
      <c r="K24" s="4"/>
      <c r="L24" s="5">
        <f>1084.5</f>
        <v>1084.5</v>
      </c>
      <c r="M24" s="5">
        <f>409.5</f>
        <v>409.5</v>
      </c>
      <c r="N24" s="5">
        <f t="shared" si="0"/>
        <v>6972.3</v>
      </c>
    </row>
    <row r="25" spans="1:14" x14ac:dyDescent="0.3">
      <c r="A25" s="3" t="s">
        <v>28</v>
      </c>
      <c r="B25" s="4"/>
      <c r="C25" s="5">
        <f>753.6</f>
        <v>753.6</v>
      </c>
      <c r="D25" s="5">
        <f>1477.2</f>
        <v>1477.2</v>
      </c>
      <c r="E25" s="5">
        <f>1630.2</f>
        <v>1630.2</v>
      </c>
      <c r="F25" s="4"/>
      <c r="G25" s="5">
        <f>797.4</f>
        <v>797.4</v>
      </c>
      <c r="H25" s="5">
        <f>694.8</f>
        <v>694.8</v>
      </c>
      <c r="I25" s="5">
        <f>777.3</f>
        <v>777.3</v>
      </c>
      <c r="J25" s="4"/>
      <c r="K25" s="4"/>
      <c r="L25" s="5">
        <f>1512</f>
        <v>1512</v>
      </c>
      <c r="M25" s="5">
        <f>351</f>
        <v>351</v>
      </c>
      <c r="N25" s="5">
        <f t="shared" si="0"/>
        <v>7993.5</v>
      </c>
    </row>
    <row r="26" spans="1:14" x14ac:dyDescent="0.3">
      <c r="A26" s="3" t="s">
        <v>29</v>
      </c>
      <c r="B26" s="4"/>
      <c r="C26" s="5">
        <f>842.4</f>
        <v>842.4</v>
      </c>
      <c r="D26" s="5">
        <f>2438.7</f>
        <v>2438.6999999999998</v>
      </c>
      <c r="E26" s="5">
        <f>1173</f>
        <v>1173</v>
      </c>
      <c r="F26" s="5">
        <f>351</f>
        <v>351</v>
      </c>
      <c r="G26" s="5">
        <f>1119.9</f>
        <v>1119.9000000000001</v>
      </c>
      <c r="H26" s="5">
        <f>1543.8</f>
        <v>1543.8</v>
      </c>
      <c r="I26" s="5">
        <f>1576.5</f>
        <v>1576.5</v>
      </c>
      <c r="J26" s="4"/>
      <c r="K26" s="4"/>
      <c r="L26" s="5">
        <f>1590.3</f>
        <v>1590.3</v>
      </c>
      <c r="M26" s="5">
        <f>409.5</f>
        <v>409.5</v>
      </c>
      <c r="N26" s="5">
        <f t="shared" si="0"/>
        <v>11045.099999999999</v>
      </c>
    </row>
    <row r="27" spans="1:14" x14ac:dyDescent="0.3">
      <c r="A27" s="3" t="s">
        <v>30</v>
      </c>
      <c r="B27" s="4"/>
      <c r="C27" s="5">
        <f>1223.4</f>
        <v>1223.4000000000001</v>
      </c>
      <c r="D27" s="5">
        <f>2290.9</f>
        <v>2290.9</v>
      </c>
      <c r="E27" s="5">
        <f>1568.25</f>
        <v>1568.25</v>
      </c>
      <c r="F27" s="5">
        <f>965.25</f>
        <v>965.25</v>
      </c>
      <c r="G27" s="5">
        <f>1739</f>
        <v>1739</v>
      </c>
      <c r="H27" s="5">
        <f>9954.2</f>
        <v>9954.2000000000007</v>
      </c>
      <c r="I27" s="5">
        <f>471</f>
        <v>471</v>
      </c>
      <c r="J27" s="5">
        <f>3358.22</f>
        <v>3358.22</v>
      </c>
      <c r="K27" s="4"/>
      <c r="L27" s="5">
        <f>3785.4</f>
        <v>3785.4</v>
      </c>
      <c r="M27" s="5">
        <f>902</f>
        <v>902</v>
      </c>
      <c r="N27" s="5">
        <f>(((((((((((B27)+(C27))+(D27))+(E27))+(F27))+(G27))+(H27))+(I27))+(J27))+(K27))+(L27))+(M27)</f>
        <v>26257.620000000003</v>
      </c>
    </row>
    <row r="28" spans="1:14" x14ac:dyDescent="0.3">
      <c r="A28" s="3" t="s">
        <v>31</v>
      </c>
      <c r="B28" s="6">
        <f t="shared" ref="B28:M28" si="3">((((B23)+(B24))+(B25))+(B26))+(B27)</f>
        <v>11.14</v>
      </c>
      <c r="C28" s="6">
        <f t="shared" si="3"/>
        <v>3561.36</v>
      </c>
      <c r="D28" s="6">
        <f t="shared" si="3"/>
        <v>6478.369999999999</v>
      </c>
      <c r="E28" s="6">
        <f t="shared" si="3"/>
        <v>7089.89</v>
      </c>
      <c r="F28" s="6">
        <f t="shared" si="3"/>
        <v>1613.8</v>
      </c>
      <c r="G28" s="6">
        <f t="shared" si="3"/>
        <v>6755.57</v>
      </c>
      <c r="H28" s="6">
        <f t="shared" si="3"/>
        <v>15282.800000000001</v>
      </c>
      <c r="I28" s="6">
        <f t="shared" si="3"/>
        <v>4007.8</v>
      </c>
      <c r="J28" s="6">
        <f t="shared" si="3"/>
        <v>4431.74</v>
      </c>
      <c r="K28" s="6">
        <f t="shared" si="3"/>
        <v>0</v>
      </c>
      <c r="L28" s="6">
        <f t="shared" si="3"/>
        <v>19903.64</v>
      </c>
      <c r="M28" s="6">
        <f>((((M23)+(M24))+(M25))+(M26))+(M27)</f>
        <v>2536.5699999999997</v>
      </c>
      <c r="N28" s="6">
        <f t="shared" si="0"/>
        <v>71672.679999999993</v>
      </c>
    </row>
    <row r="29" spans="1:14" x14ac:dyDescent="0.3">
      <c r="A29" s="3" t="s">
        <v>32</v>
      </c>
      <c r="B29" s="5">
        <f>8097.5</f>
        <v>8097.5</v>
      </c>
      <c r="C29" s="5">
        <f>6500</f>
        <v>6500</v>
      </c>
      <c r="D29" s="5">
        <f>8097.5</f>
        <v>8097.5</v>
      </c>
      <c r="E29" s="5">
        <f>14597.5</f>
        <v>14597.5</v>
      </c>
      <c r="F29" s="5">
        <f>8097.5</f>
        <v>8097.5</v>
      </c>
      <c r="G29" s="5">
        <f>8097.5</f>
        <v>8097.5</v>
      </c>
      <c r="H29" s="5">
        <f>8097.5</f>
        <v>8097.5</v>
      </c>
      <c r="I29" s="4"/>
      <c r="J29" s="5">
        <f>1597.5</f>
        <v>1597.5</v>
      </c>
      <c r="K29" s="4"/>
      <c r="L29" s="5">
        <f>3195</f>
        <v>3195</v>
      </c>
      <c r="M29" s="5">
        <f>1597.5</f>
        <v>1597.5</v>
      </c>
      <c r="N29" s="5">
        <f t="shared" si="0"/>
        <v>67975</v>
      </c>
    </row>
    <row r="30" spans="1:14" x14ac:dyDescent="0.3">
      <c r="A30" s="3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0</v>
      </c>
    </row>
    <row r="31" spans="1:14" x14ac:dyDescent="0.3">
      <c r="A31" s="3" t="s">
        <v>27</v>
      </c>
      <c r="B31" s="5">
        <f>1935</f>
        <v>1935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si="0"/>
        <v>1935</v>
      </c>
    </row>
    <row r="32" spans="1:14" x14ac:dyDescent="0.3">
      <c r="A32" s="3" t="s">
        <v>28</v>
      </c>
      <c r="B32" s="5">
        <f>3774.6</f>
        <v>3774.6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si="0"/>
        <v>3774.6</v>
      </c>
    </row>
    <row r="33" spans="1:14" x14ac:dyDescent="0.3">
      <c r="A33" s="3" t="s">
        <v>29</v>
      </c>
      <c r="B33" s="5">
        <f>2955</f>
        <v>2955</v>
      </c>
      <c r="C33" s="5">
        <f>2620</f>
        <v>2620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f t="shared" si="0"/>
        <v>5575</v>
      </c>
    </row>
    <row r="34" spans="1:14" x14ac:dyDescent="0.3">
      <c r="A34" s="3" t="s">
        <v>30</v>
      </c>
      <c r="B34" s="5">
        <f>1707.75</f>
        <v>1707.75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0"/>
        <v>1707.75</v>
      </c>
    </row>
    <row r="35" spans="1:14" x14ac:dyDescent="0.3">
      <c r="A35" s="3" t="s">
        <v>34</v>
      </c>
      <c r="B35" s="6">
        <f t="shared" ref="B35:M35" si="4">((((B30)+(B31))+(B32))+(B33))+(B34)</f>
        <v>10372.35</v>
      </c>
      <c r="C35" s="6">
        <f t="shared" si="4"/>
        <v>2620</v>
      </c>
      <c r="D35" s="6">
        <f t="shared" si="4"/>
        <v>0</v>
      </c>
      <c r="E35" s="6">
        <f t="shared" si="4"/>
        <v>0</v>
      </c>
      <c r="F35" s="6">
        <f t="shared" si="4"/>
        <v>0</v>
      </c>
      <c r="G35" s="6">
        <f t="shared" si="4"/>
        <v>0</v>
      </c>
      <c r="H35" s="6">
        <f t="shared" si="4"/>
        <v>0</v>
      </c>
      <c r="I35" s="6">
        <f t="shared" si="4"/>
        <v>0</v>
      </c>
      <c r="J35" s="6">
        <f t="shared" si="4"/>
        <v>0</v>
      </c>
      <c r="K35" s="6">
        <f t="shared" si="4"/>
        <v>0</v>
      </c>
      <c r="L35" s="6">
        <f t="shared" si="4"/>
        <v>0</v>
      </c>
      <c r="M35" s="6">
        <f t="shared" si="4"/>
        <v>0</v>
      </c>
      <c r="N35" s="6">
        <f t="shared" si="0"/>
        <v>12992.35</v>
      </c>
    </row>
    <row r="36" spans="1:14" x14ac:dyDescent="0.3">
      <c r="A36" s="3" t="s">
        <v>35</v>
      </c>
      <c r="B36" s="6">
        <f t="shared" ref="B36:M36" si="5">((((B21)+(B22))+(B28))+(B29))+(B35)</f>
        <v>18721.91</v>
      </c>
      <c r="C36" s="6">
        <f t="shared" si="5"/>
        <v>14181.36</v>
      </c>
      <c r="D36" s="6">
        <f t="shared" si="5"/>
        <v>16160.369999999999</v>
      </c>
      <c r="E36" s="6">
        <f t="shared" si="5"/>
        <v>21687.39</v>
      </c>
      <c r="F36" s="6">
        <f t="shared" si="5"/>
        <v>9711.2999999999993</v>
      </c>
      <c r="G36" s="6">
        <f t="shared" si="5"/>
        <v>15353.07</v>
      </c>
      <c r="H36" s="6">
        <f t="shared" si="5"/>
        <v>29633.89</v>
      </c>
      <c r="I36" s="6">
        <f t="shared" si="5"/>
        <v>4007.8</v>
      </c>
      <c r="J36" s="6">
        <f t="shared" si="5"/>
        <v>6400.8</v>
      </c>
      <c r="K36" s="6">
        <f t="shared" si="5"/>
        <v>1.9</v>
      </c>
      <c r="L36" s="6">
        <f>((((L21)+(L22))+(L28))+(L29))+(L35)</f>
        <v>23112.19</v>
      </c>
      <c r="M36" s="6">
        <f t="shared" si="5"/>
        <v>4142.8500000000004</v>
      </c>
      <c r="N36" s="6">
        <f t="shared" si="0"/>
        <v>163114.82999999999</v>
      </c>
    </row>
    <row r="37" spans="1:14" x14ac:dyDescent="0.3">
      <c r="A37" s="3" t="s">
        <v>36</v>
      </c>
      <c r="B37" s="6">
        <f t="shared" ref="B37:M37" si="6">((B13)+(B20))+(B36)</f>
        <v>786522.19000000029</v>
      </c>
      <c r="C37" s="6">
        <f t="shared" si="6"/>
        <v>688621.96000000008</v>
      </c>
      <c r="D37" s="6">
        <f t="shared" si="6"/>
        <v>836843.19000000006</v>
      </c>
      <c r="E37" s="6">
        <f t="shared" si="6"/>
        <v>859013.24000000011</v>
      </c>
      <c r="F37" s="6">
        <f t="shared" si="6"/>
        <v>944961.82000000007</v>
      </c>
      <c r="G37" s="6">
        <f t="shared" si="6"/>
        <v>839256.33000000019</v>
      </c>
      <c r="H37" s="6">
        <f t="shared" si="6"/>
        <v>858583.99000000011</v>
      </c>
      <c r="I37" s="6">
        <f t="shared" si="6"/>
        <v>931035.51</v>
      </c>
      <c r="J37" s="6">
        <f t="shared" si="6"/>
        <v>829102.68000000017</v>
      </c>
      <c r="K37" s="6">
        <f t="shared" si="6"/>
        <v>1027695.41</v>
      </c>
      <c r="L37" s="6">
        <f t="shared" si="6"/>
        <v>863578.99</v>
      </c>
      <c r="M37" s="6">
        <f t="shared" si="6"/>
        <v>822699.87</v>
      </c>
      <c r="N37" s="6">
        <f t="shared" si="0"/>
        <v>10287915.18</v>
      </c>
    </row>
    <row r="38" spans="1:14" x14ac:dyDescent="0.3">
      <c r="A38" s="3" t="s">
        <v>37</v>
      </c>
      <c r="B38" s="6">
        <f t="shared" ref="B38:M38" si="7">(B37)-(0)</f>
        <v>786522.19000000029</v>
      </c>
      <c r="C38" s="6">
        <f t="shared" si="7"/>
        <v>688621.96000000008</v>
      </c>
      <c r="D38" s="6">
        <f t="shared" si="7"/>
        <v>836843.19000000006</v>
      </c>
      <c r="E38" s="6">
        <f t="shared" si="7"/>
        <v>859013.24000000011</v>
      </c>
      <c r="F38" s="6">
        <f t="shared" si="7"/>
        <v>944961.82000000007</v>
      </c>
      <c r="G38" s="6">
        <f t="shared" si="7"/>
        <v>839256.33000000019</v>
      </c>
      <c r="H38" s="6">
        <f t="shared" si="7"/>
        <v>858583.99000000011</v>
      </c>
      <c r="I38" s="6">
        <f t="shared" si="7"/>
        <v>931035.51</v>
      </c>
      <c r="J38" s="6">
        <f t="shared" si="7"/>
        <v>829102.68000000017</v>
      </c>
      <c r="K38" s="6">
        <f t="shared" si="7"/>
        <v>1027695.41</v>
      </c>
      <c r="L38" s="6">
        <f t="shared" si="7"/>
        <v>863578.99</v>
      </c>
      <c r="M38" s="6">
        <f t="shared" si="7"/>
        <v>822699.87</v>
      </c>
      <c r="N38" s="6">
        <f t="shared" si="0"/>
        <v>10287915.18</v>
      </c>
    </row>
    <row r="39" spans="1:14" x14ac:dyDescent="0.3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f t="shared" ref="N40:N103" si="8">(((((((((((B40)+(C40))+(D40))+(E40))+(F40))+(G40))+(H40))+(I40))+(J40))+(K40))+(L40))+(M40)</f>
        <v>0</v>
      </c>
    </row>
    <row r="41" spans="1:14" x14ac:dyDescent="0.3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f t="shared" si="8"/>
        <v>0</v>
      </c>
    </row>
    <row r="42" spans="1:14" x14ac:dyDescent="0.3">
      <c r="A42" s="3" t="s">
        <v>270</v>
      </c>
      <c r="B42" s="5">
        <f>9207.09</f>
        <v>9207.09</v>
      </c>
      <c r="C42" s="5">
        <f>9207.09</f>
        <v>9207.09</v>
      </c>
      <c r="D42" s="5">
        <f>12977.32</f>
        <v>12977.32</v>
      </c>
      <c r="E42" s="5">
        <f>9207.09</f>
        <v>9207.09</v>
      </c>
      <c r="F42" s="5">
        <f>9207.09</f>
        <v>9207.09</v>
      </c>
      <c r="G42" s="5">
        <f>9207.09</f>
        <v>9207.09</v>
      </c>
      <c r="H42" s="5">
        <f>9207.09</f>
        <v>9207.09</v>
      </c>
      <c r="I42" s="5">
        <f>12977.32</f>
        <v>12977.32</v>
      </c>
      <c r="J42" s="5">
        <f>13368.95</f>
        <v>13368.95</v>
      </c>
      <c r="K42" s="5">
        <f>11860</f>
        <v>11860</v>
      </c>
      <c r="L42" s="5">
        <f>11860</f>
        <v>11860</v>
      </c>
      <c r="M42" s="5">
        <f>12285</f>
        <v>12285</v>
      </c>
      <c r="N42" s="5">
        <f t="shared" si="8"/>
        <v>130571.12999999999</v>
      </c>
    </row>
    <row r="43" spans="1:14" x14ac:dyDescent="0.3">
      <c r="A43" s="3" t="s">
        <v>267</v>
      </c>
      <c r="B43" s="4"/>
      <c r="C43" s="4"/>
      <c r="D43" s="4"/>
      <c r="E43" s="4"/>
      <c r="F43" s="5">
        <f>25000</f>
        <v>25000</v>
      </c>
      <c r="G43" s="4"/>
      <c r="H43" s="4"/>
      <c r="I43" s="5">
        <f>18461.54</f>
        <v>18461.54</v>
      </c>
      <c r="J43" s="5">
        <f>18461.54</f>
        <v>18461.54</v>
      </c>
      <c r="K43" s="5">
        <f>18461.54</f>
        <v>18461.54</v>
      </c>
      <c r="L43" s="5">
        <f>18461.54</f>
        <v>18461.54</v>
      </c>
      <c r="M43" s="5">
        <f>18461.54</f>
        <v>18461.54</v>
      </c>
      <c r="N43" s="5">
        <f t="shared" si="8"/>
        <v>117307.70000000001</v>
      </c>
    </row>
    <row r="44" spans="1:14" x14ac:dyDescent="0.3">
      <c r="A44" s="3" t="s">
        <v>268</v>
      </c>
      <c r="B44" s="5">
        <f>7461.56</f>
        <v>7461.56</v>
      </c>
      <c r="C44" s="5">
        <f>7461.56</f>
        <v>7461.56</v>
      </c>
      <c r="D44" s="5">
        <f>11192.34</f>
        <v>11192.34</v>
      </c>
      <c r="E44" s="5">
        <f>7461.56</f>
        <v>7461.56</v>
      </c>
      <c r="F44" s="5">
        <f>12730.78</f>
        <v>12730.78</v>
      </c>
      <c r="G44" s="5">
        <f>8000</f>
        <v>8000</v>
      </c>
      <c r="H44" s="5">
        <f>8000</f>
        <v>8000</v>
      </c>
      <c r="I44" s="5">
        <f>12000</f>
        <v>12000</v>
      </c>
      <c r="J44" s="5">
        <f>8000</f>
        <v>8000</v>
      </c>
      <c r="K44" s="5">
        <f>8025</f>
        <v>8025</v>
      </c>
      <c r="L44" s="5">
        <f>8000</f>
        <v>8000</v>
      </c>
      <c r="M44" s="5">
        <f>8011.57</f>
        <v>8011.57</v>
      </c>
      <c r="N44" s="5">
        <f t="shared" si="8"/>
        <v>106344.37</v>
      </c>
    </row>
    <row r="45" spans="1:14" x14ac:dyDescent="0.3">
      <c r="A45" s="3" t="s">
        <v>269</v>
      </c>
      <c r="B45" s="5">
        <f>5238.48</f>
        <v>5238.4799999999996</v>
      </c>
      <c r="C45" s="5">
        <f>5238.48</f>
        <v>5238.4799999999996</v>
      </c>
      <c r="D45" s="5">
        <f>7257.72</f>
        <v>7257.72</v>
      </c>
      <c r="E45" s="5">
        <f>5238.48</f>
        <v>5238.4799999999996</v>
      </c>
      <c r="F45" s="5">
        <f>5238.48</f>
        <v>5238.4799999999996</v>
      </c>
      <c r="G45" s="5">
        <f>5238.48</f>
        <v>5238.4799999999996</v>
      </c>
      <c r="H45" s="5">
        <f>5238.48</f>
        <v>5238.4799999999996</v>
      </c>
      <c r="I45" s="5">
        <f>7257.72</f>
        <v>7257.72</v>
      </c>
      <c r="J45" s="5">
        <f>2489.9</f>
        <v>2489.9</v>
      </c>
      <c r="K45" s="5">
        <f>8411.53</f>
        <v>8411.5300000000007</v>
      </c>
      <c r="L45" s="5">
        <f>6007.68</f>
        <v>6007.68</v>
      </c>
      <c r="M45" s="5">
        <f>6007.7</f>
        <v>6007.7</v>
      </c>
      <c r="N45" s="5">
        <f t="shared" si="8"/>
        <v>68863.12999999999</v>
      </c>
    </row>
    <row r="46" spans="1:14" x14ac:dyDescent="0.3">
      <c r="A46" s="3" t="s">
        <v>41</v>
      </c>
      <c r="B46" s="5">
        <f>23084</f>
        <v>23084</v>
      </c>
      <c r="C46" s="5">
        <f>23084</f>
        <v>23084</v>
      </c>
      <c r="D46" s="5">
        <f>13857.17</f>
        <v>13857.17</v>
      </c>
      <c r="E46" s="5">
        <f>23084.64</f>
        <v>23084.639999999999</v>
      </c>
      <c r="F46" s="5">
        <f>23084.64</f>
        <v>23084.639999999999</v>
      </c>
      <c r="G46" s="5">
        <f>23084.64</f>
        <v>23084.639999999999</v>
      </c>
      <c r="H46" s="5">
        <f>23084.64</f>
        <v>23084.639999999999</v>
      </c>
      <c r="I46" s="5">
        <f>30776.96</f>
        <v>30776.959999999999</v>
      </c>
      <c r="J46" s="5">
        <f>23084.64</f>
        <v>23084.639999999999</v>
      </c>
      <c r="K46" s="5">
        <f>23084.64</f>
        <v>23084.639999999999</v>
      </c>
      <c r="L46" s="5">
        <f>23085.61</f>
        <v>23085.61</v>
      </c>
      <c r="M46" s="5">
        <f>23084.64</f>
        <v>23084.639999999999</v>
      </c>
      <c r="N46" s="5">
        <f t="shared" si="8"/>
        <v>275480.21999999997</v>
      </c>
    </row>
    <row r="47" spans="1:14" x14ac:dyDescent="0.3">
      <c r="A47" s="3" t="s">
        <v>42</v>
      </c>
      <c r="B47" s="5">
        <f>7456.94</f>
        <v>7456.94</v>
      </c>
      <c r="C47" s="5">
        <f>7456.94</f>
        <v>7456.94</v>
      </c>
      <c r="D47" s="5">
        <f>10935.41</f>
        <v>10935.41</v>
      </c>
      <c r="E47" s="5">
        <f>7456.94</f>
        <v>7456.94</v>
      </c>
      <c r="F47" s="5">
        <f>7456.94</f>
        <v>7456.94</v>
      </c>
      <c r="G47" s="5">
        <f>7456.94</f>
        <v>7456.94</v>
      </c>
      <c r="H47" s="5">
        <f>7456.94</f>
        <v>7456.94</v>
      </c>
      <c r="I47" s="5">
        <f>11670.79</f>
        <v>11670.79</v>
      </c>
      <c r="J47" s="5">
        <f>8192.32</f>
        <v>8192.32</v>
      </c>
      <c r="K47" s="5">
        <f>8192.32</f>
        <v>8192.32</v>
      </c>
      <c r="L47" s="5">
        <f>8192.32</f>
        <v>8192.32</v>
      </c>
      <c r="M47" s="5">
        <f>8192.32</f>
        <v>8192.32</v>
      </c>
      <c r="N47" s="5">
        <f t="shared" si="8"/>
        <v>100117.12000000002</v>
      </c>
    </row>
    <row r="48" spans="1:14" x14ac:dyDescent="0.3">
      <c r="A48" s="3" t="s">
        <v>43</v>
      </c>
      <c r="B48" s="5">
        <f>6432</f>
        <v>6432</v>
      </c>
      <c r="C48" s="5">
        <f>0</f>
        <v>0</v>
      </c>
      <c r="D48" s="5">
        <f>-17151</f>
        <v>-17151</v>
      </c>
      <c r="E48" s="5">
        <f>4231</f>
        <v>4231</v>
      </c>
      <c r="F48" s="5">
        <f>7718</f>
        <v>7718</v>
      </c>
      <c r="G48" s="5">
        <f>2518</f>
        <v>2518</v>
      </c>
      <c r="H48" s="5">
        <f>7958</f>
        <v>7958</v>
      </c>
      <c r="I48" s="5">
        <f>-15560</f>
        <v>-15560</v>
      </c>
      <c r="J48" s="5">
        <f>580</f>
        <v>580</v>
      </c>
      <c r="K48" s="5">
        <f>12822</f>
        <v>12822</v>
      </c>
      <c r="L48" s="5">
        <f>5960</f>
        <v>5960</v>
      </c>
      <c r="M48" s="5">
        <f>4161</f>
        <v>4161</v>
      </c>
      <c r="N48" s="5">
        <f t="shared" si="8"/>
        <v>19669</v>
      </c>
    </row>
    <row r="49" spans="1:14" x14ac:dyDescent="0.3">
      <c r="A49" s="3" t="s">
        <v>271</v>
      </c>
      <c r="B49" s="5">
        <f>9304.38</f>
        <v>9304.3799999999992</v>
      </c>
      <c r="C49" s="5">
        <f>9304.38</f>
        <v>9304.3799999999992</v>
      </c>
      <c r="D49" s="5">
        <f>13531.57</f>
        <v>13531.57</v>
      </c>
      <c r="E49" s="5">
        <f>9304.38</f>
        <v>9304.3799999999992</v>
      </c>
      <c r="F49" s="5">
        <f>9304.38</f>
        <v>9304.3799999999992</v>
      </c>
      <c r="G49" s="5">
        <f>9304.38</f>
        <v>9304.3799999999992</v>
      </c>
      <c r="H49" s="5">
        <f>9304.38</f>
        <v>9304.3799999999992</v>
      </c>
      <c r="I49" s="5">
        <f>13531.57</f>
        <v>13531.57</v>
      </c>
      <c r="J49" s="5">
        <f>9304.38</f>
        <v>9304.3799999999992</v>
      </c>
      <c r="K49" s="5">
        <f>9304.38</f>
        <v>9304.3799999999992</v>
      </c>
      <c r="L49" s="5">
        <f>9919.77</f>
        <v>9919.77</v>
      </c>
      <c r="M49" s="5">
        <f>10535.16</f>
        <v>10535.16</v>
      </c>
      <c r="N49" s="5">
        <f t="shared" si="8"/>
        <v>121953.11</v>
      </c>
    </row>
    <row r="50" spans="1:14" x14ac:dyDescent="0.3">
      <c r="A50" s="3" t="s">
        <v>44</v>
      </c>
      <c r="B50" s="6">
        <f t="shared" ref="B50:M50" si="9">((((((((B41)+(B42))+(B43))+(B44))+(B45))+(B46))+(B47))+(B48))+(B49)</f>
        <v>68184.450000000012</v>
      </c>
      <c r="C50" s="6">
        <f t="shared" si="9"/>
        <v>61752.450000000004</v>
      </c>
      <c r="D50" s="6">
        <f t="shared" si="9"/>
        <v>52600.530000000006</v>
      </c>
      <c r="E50" s="6">
        <f t="shared" si="9"/>
        <v>65984.090000000011</v>
      </c>
      <c r="F50" s="6">
        <f t="shared" si="9"/>
        <v>99740.31</v>
      </c>
      <c r="G50" s="6">
        <f t="shared" si="9"/>
        <v>64809.53</v>
      </c>
      <c r="H50" s="6">
        <f t="shared" si="9"/>
        <v>70249.53</v>
      </c>
      <c r="I50" s="6">
        <f t="shared" si="9"/>
        <v>91115.900000000023</v>
      </c>
      <c r="J50" s="6">
        <f t="shared" si="9"/>
        <v>83481.73000000001</v>
      </c>
      <c r="K50" s="6">
        <f t="shared" si="9"/>
        <v>100161.41</v>
      </c>
      <c r="L50" s="6">
        <f t="shared" si="9"/>
        <v>91486.92</v>
      </c>
      <c r="M50" s="6">
        <f t="shared" si="9"/>
        <v>90738.93</v>
      </c>
      <c r="N50" s="6">
        <f t="shared" si="8"/>
        <v>940305.78</v>
      </c>
    </row>
    <row r="51" spans="1:14" x14ac:dyDescent="0.3">
      <c r="A51" s="3" t="s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>
        <f t="shared" si="8"/>
        <v>0</v>
      </c>
    </row>
    <row r="52" spans="1:14" x14ac:dyDescent="0.3">
      <c r="A52" s="3" t="s">
        <v>46</v>
      </c>
      <c r="B52" s="5">
        <f>117.94</f>
        <v>117.94</v>
      </c>
      <c r="C52" s="4"/>
      <c r="D52" s="4"/>
      <c r="E52" s="5">
        <f>117.94</f>
        <v>117.94</v>
      </c>
      <c r="F52" s="5">
        <f>906.2</f>
        <v>906.2</v>
      </c>
      <c r="G52" s="4"/>
      <c r="H52" s="5">
        <f>117.94</f>
        <v>117.94</v>
      </c>
      <c r="I52" s="4"/>
      <c r="J52" s="5">
        <f>1253.41</f>
        <v>1253.4100000000001</v>
      </c>
      <c r="K52" s="5">
        <f>117.94</f>
        <v>117.94</v>
      </c>
      <c r="L52" s="4"/>
      <c r="M52" s="4"/>
      <c r="N52" s="5">
        <f t="shared" si="8"/>
        <v>2631.3700000000003</v>
      </c>
    </row>
    <row r="53" spans="1:14" x14ac:dyDescent="0.3">
      <c r="A53" s="3" t="s">
        <v>47</v>
      </c>
      <c r="B53" s="5">
        <f>1841</f>
        <v>1841</v>
      </c>
      <c r="C53" s="5">
        <f>100</f>
        <v>100</v>
      </c>
      <c r="D53" s="4"/>
      <c r="E53" s="5">
        <f>100</f>
        <v>100</v>
      </c>
      <c r="F53" s="4"/>
      <c r="G53" s="4"/>
      <c r="H53" s="5">
        <f>46.08</f>
        <v>46.08</v>
      </c>
      <c r="I53" s="4"/>
      <c r="J53" s="4"/>
      <c r="K53" s="5">
        <f>475</f>
        <v>475</v>
      </c>
      <c r="L53" s="5">
        <f>2210</f>
        <v>2210</v>
      </c>
      <c r="M53" s="5">
        <f>178.5</f>
        <v>178.5</v>
      </c>
      <c r="N53" s="5">
        <f t="shared" si="8"/>
        <v>4950.58</v>
      </c>
    </row>
    <row r="54" spans="1:14" x14ac:dyDescent="0.3">
      <c r="A54" s="3" t="s">
        <v>48</v>
      </c>
      <c r="B54" s="5">
        <f>250</f>
        <v>250</v>
      </c>
      <c r="C54" s="5">
        <f>225</f>
        <v>225</v>
      </c>
      <c r="D54" s="4"/>
      <c r="E54" s="5">
        <f>48.06</f>
        <v>48.06</v>
      </c>
      <c r="F54" s="4"/>
      <c r="G54" s="5">
        <f>200</f>
        <v>200</v>
      </c>
      <c r="H54" s="4"/>
      <c r="I54" s="5">
        <f>350</f>
        <v>350</v>
      </c>
      <c r="J54" s="4"/>
      <c r="K54" s="5">
        <f>785</f>
        <v>785</v>
      </c>
      <c r="L54" s="5">
        <f>975</f>
        <v>975</v>
      </c>
      <c r="M54" s="4"/>
      <c r="N54" s="5">
        <f t="shared" si="8"/>
        <v>2833.06</v>
      </c>
    </row>
    <row r="55" spans="1:14" x14ac:dyDescent="0.3">
      <c r="A55" s="3" t="s">
        <v>49</v>
      </c>
      <c r="B55" s="5">
        <f>1841</f>
        <v>1841</v>
      </c>
      <c r="C55" s="5">
        <f>100</f>
        <v>100</v>
      </c>
      <c r="D55" s="4"/>
      <c r="E55" s="4"/>
      <c r="F55" s="4"/>
      <c r="G55" s="4"/>
      <c r="H55" s="5">
        <f>100</f>
        <v>100</v>
      </c>
      <c r="I55" s="4"/>
      <c r="J55" s="4"/>
      <c r="K55" s="5">
        <f>435</f>
        <v>435</v>
      </c>
      <c r="L55" s="5">
        <f>2210</f>
        <v>2210</v>
      </c>
      <c r="M55" s="5">
        <f>178.5</f>
        <v>178.5</v>
      </c>
      <c r="N55" s="5">
        <f t="shared" si="8"/>
        <v>4864.5</v>
      </c>
    </row>
    <row r="56" spans="1:14" x14ac:dyDescent="0.3">
      <c r="A56" s="3" t="s">
        <v>50</v>
      </c>
      <c r="B56" s="5">
        <f>1841</f>
        <v>1841</v>
      </c>
      <c r="C56" s="5">
        <f>100</f>
        <v>100</v>
      </c>
      <c r="D56" s="4"/>
      <c r="E56" s="4"/>
      <c r="F56" s="4"/>
      <c r="G56" s="4"/>
      <c r="H56" s="4"/>
      <c r="I56" s="5">
        <f>441</f>
        <v>441</v>
      </c>
      <c r="J56" s="4"/>
      <c r="K56" s="5">
        <f>375</f>
        <v>375</v>
      </c>
      <c r="L56" s="4"/>
      <c r="M56" s="5">
        <f>533.5</f>
        <v>533.5</v>
      </c>
      <c r="N56" s="5">
        <f t="shared" si="8"/>
        <v>3290.5</v>
      </c>
    </row>
    <row r="57" spans="1:14" x14ac:dyDescent="0.3">
      <c r="A57" s="3" t="s">
        <v>51</v>
      </c>
      <c r="B57" s="4"/>
      <c r="C57" s="4"/>
      <c r="D57" s="4"/>
      <c r="E57" s="4"/>
      <c r="F57" s="5">
        <f>200</f>
        <v>200</v>
      </c>
      <c r="G57" s="5">
        <f>700</f>
        <v>700</v>
      </c>
      <c r="H57" s="5">
        <f>400</f>
        <v>400</v>
      </c>
      <c r="I57" s="4"/>
      <c r="J57" s="4"/>
      <c r="K57" s="5">
        <f>1055</f>
        <v>1055</v>
      </c>
      <c r="L57" s="5">
        <f>783.5</f>
        <v>783.5</v>
      </c>
      <c r="M57" s="4"/>
      <c r="N57" s="5">
        <f t="shared" si="8"/>
        <v>3138.5</v>
      </c>
    </row>
    <row r="58" spans="1:14" x14ac:dyDescent="0.3">
      <c r="A58" s="3" t="s">
        <v>52</v>
      </c>
      <c r="B58" s="5">
        <f>1022</f>
        <v>1022</v>
      </c>
      <c r="C58" s="5">
        <f>455</f>
        <v>455</v>
      </c>
      <c r="D58" s="4"/>
      <c r="E58" s="5">
        <f>731</f>
        <v>731</v>
      </c>
      <c r="F58" s="4"/>
      <c r="G58" s="4"/>
      <c r="H58" s="4"/>
      <c r="I58" s="5">
        <f>900</f>
        <v>900</v>
      </c>
      <c r="J58" s="4"/>
      <c r="K58" s="5">
        <f>375</f>
        <v>375</v>
      </c>
      <c r="L58" s="4"/>
      <c r="M58" s="5">
        <f>178.5</f>
        <v>178.5</v>
      </c>
      <c r="N58" s="5">
        <f t="shared" si="8"/>
        <v>3661.5</v>
      </c>
    </row>
    <row r="59" spans="1:14" x14ac:dyDescent="0.3">
      <c r="A59" s="3" t="s">
        <v>53</v>
      </c>
      <c r="B59" s="5">
        <f>565.2</f>
        <v>565.20000000000005</v>
      </c>
      <c r="C59" s="5">
        <f>100</f>
        <v>100</v>
      </c>
      <c r="D59" s="4"/>
      <c r="E59" s="4"/>
      <c r="F59" s="4"/>
      <c r="G59" s="4"/>
      <c r="H59" s="4"/>
      <c r="I59" s="4"/>
      <c r="J59" s="4"/>
      <c r="K59" s="5">
        <f>375</f>
        <v>375</v>
      </c>
      <c r="L59" s="5">
        <f>1029</f>
        <v>1029</v>
      </c>
      <c r="M59" s="5">
        <f>178.5</f>
        <v>178.5</v>
      </c>
      <c r="N59" s="5">
        <f t="shared" si="8"/>
        <v>2247.6999999999998</v>
      </c>
    </row>
    <row r="60" spans="1:14" x14ac:dyDescent="0.3">
      <c r="A60" s="3" t="s">
        <v>54</v>
      </c>
      <c r="B60" s="4"/>
      <c r="C60" s="5">
        <f>234.34</f>
        <v>234.34</v>
      </c>
      <c r="D60" s="4"/>
      <c r="E60" s="5">
        <f>208</f>
        <v>208</v>
      </c>
      <c r="F60" s="4"/>
      <c r="G60" s="4"/>
      <c r="H60" s="4"/>
      <c r="I60" s="4"/>
      <c r="J60" s="4"/>
      <c r="K60" s="4"/>
      <c r="L60" s="4"/>
      <c r="M60" s="4"/>
      <c r="N60" s="5">
        <f t="shared" si="8"/>
        <v>442.34000000000003</v>
      </c>
    </row>
    <row r="61" spans="1:14" x14ac:dyDescent="0.3">
      <c r="A61" s="3" t="s">
        <v>55</v>
      </c>
      <c r="B61" s="4"/>
      <c r="C61" s="4"/>
      <c r="D61" s="4"/>
      <c r="E61" s="4"/>
      <c r="F61" s="5">
        <f>1950</f>
        <v>1950</v>
      </c>
      <c r="G61" s="4"/>
      <c r="H61" s="5">
        <f>500</f>
        <v>500</v>
      </c>
      <c r="I61" s="4"/>
      <c r="J61" s="4"/>
      <c r="K61" s="5">
        <f>532.51</f>
        <v>532.51</v>
      </c>
      <c r="L61" s="4"/>
      <c r="M61" s="4"/>
      <c r="N61" s="5">
        <f t="shared" si="8"/>
        <v>2982.51</v>
      </c>
    </row>
    <row r="62" spans="1:14" x14ac:dyDescent="0.3">
      <c r="A62" s="3" t="s">
        <v>56</v>
      </c>
      <c r="B62" s="4"/>
      <c r="C62" s="5">
        <f>480</f>
        <v>480</v>
      </c>
      <c r="D62" s="5">
        <f>465</f>
        <v>465</v>
      </c>
      <c r="E62" s="4"/>
      <c r="F62" s="4"/>
      <c r="G62" s="4"/>
      <c r="H62" s="4"/>
      <c r="I62" s="5">
        <f>5688</f>
        <v>5688</v>
      </c>
      <c r="J62" s="5">
        <f>369.75</f>
        <v>369.75</v>
      </c>
      <c r="K62" s="5">
        <f>510.74</f>
        <v>510.74</v>
      </c>
      <c r="L62" s="4"/>
      <c r="M62" s="5">
        <f>5688</f>
        <v>5688</v>
      </c>
      <c r="N62" s="5">
        <f t="shared" si="8"/>
        <v>13201.49</v>
      </c>
    </row>
    <row r="63" spans="1:14" x14ac:dyDescent="0.3">
      <c r="A63" s="3" t="s">
        <v>57</v>
      </c>
      <c r="B63" s="4"/>
      <c r="C63" s="5">
        <f>460</f>
        <v>460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8"/>
        <v>460</v>
      </c>
    </row>
    <row r="64" spans="1:14" x14ac:dyDescent="0.3">
      <c r="A64" s="3" t="s">
        <v>58</v>
      </c>
      <c r="B64" s="4"/>
      <c r="C64" s="4"/>
      <c r="D64" s="4"/>
      <c r="E64" s="4"/>
      <c r="F64" s="4"/>
      <c r="G64" s="4"/>
      <c r="H64" s="4"/>
      <c r="I64" s="5">
        <f>60</f>
        <v>60</v>
      </c>
      <c r="J64" s="4"/>
      <c r="K64" s="5">
        <f>547</f>
        <v>547</v>
      </c>
      <c r="L64" s="5">
        <f>435</f>
        <v>435</v>
      </c>
      <c r="M64" s="4"/>
      <c r="N64" s="5">
        <f t="shared" si="8"/>
        <v>1042</v>
      </c>
    </row>
    <row r="65" spans="1:14" x14ac:dyDescent="0.3">
      <c r="A65" s="3" t="s">
        <v>59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5">
        <f>597</f>
        <v>597</v>
      </c>
      <c r="M65" s="4"/>
      <c r="N65" s="5">
        <f t="shared" si="8"/>
        <v>597</v>
      </c>
    </row>
    <row r="66" spans="1:14" x14ac:dyDescent="0.3">
      <c r="A66" s="3" t="s">
        <v>60</v>
      </c>
      <c r="B66" s="5">
        <f>1273.05</f>
        <v>1273.05</v>
      </c>
      <c r="C66" s="5">
        <f>1273.05</f>
        <v>1273.05</v>
      </c>
      <c r="D66" s="5">
        <f>1273.05</f>
        <v>1273.05</v>
      </c>
      <c r="E66" s="5">
        <f>1273.05</f>
        <v>1273.05</v>
      </c>
      <c r="F66" s="5">
        <f>1273.05</f>
        <v>1273.05</v>
      </c>
      <c r="G66" s="5">
        <f>1335.45</f>
        <v>1335.45</v>
      </c>
      <c r="H66" s="5">
        <f>1273.05</f>
        <v>1273.05</v>
      </c>
      <c r="I66" s="5">
        <f>1305.93</f>
        <v>1305.93</v>
      </c>
      <c r="J66" s="5">
        <f>1273.05</f>
        <v>1273.05</v>
      </c>
      <c r="K66" s="5">
        <f>1273.05</f>
        <v>1273.05</v>
      </c>
      <c r="L66" s="5">
        <f>1273.05</f>
        <v>1273.05</v>
      </c>
      <c r="M66" s="5">
        <f>1273.05</f>
        <v>1273.05</v>
      </c>
      <c r="N66" s="5">
        <f t="shared" si="8"/>
        <v>15371.879999999997</v>
      </c>
    </row>
    <row r="67" spans="1:14" x14ac:dyDescent="0.3">
      <c r="A67" s="3" t="s">
        <v>61</v>
      </c>
      <c r="B67" s="5">
        <f t="shared" ref="B67:M67" si="10">23.5</f>
        <v>23.5</v>
      </c>
      <c r="C67" s="5">
        <f t="shared" si="10"/>
        <v>23.5</v>
      </c>
      <c r="D67" s="5">
        <f t="shared" si="10"/>
        <v>23.5</v>
      </c>
      <c r="E67" s="5">
        <f t="shared" si="10"/>
        <v>23.5</v>
      </c>
      <c r="F67" s="5">
        <f t="shared" si="10"/>
        <v>23.5</v>
      </c>
      <c r="G67" s="5">
        <f t="shared" si="10"/>
        <v>23.5</v>
      </c>
      <c r="H67" s="5">
        <f t="shared" si="10"/>
        <v>23.5</v>
      </c>
      <c r="I67" s="5">
        <f t="shared" si="10"/>
        <v>23.5</v>
      </c>
      <c r="J67" s="5">
        <f t="shared" si="10"/>
        <v>23.5</v>
      </c>
      <c r="K67" s="5">
        <f t="shared" si="10"/>
        <v>23.5</v>
      </c>
      <c r="L67" s="5">
        <f t="shared" si="10"/>
        <v>23.5</v>
      </c>
      <c r="M67" s="5">
        <f t="shared" si="10"/>
        <v>23.5</v>
      </c>
      <c r="N67" s="5">
        <f t="shared" si="8"/>
        <v>282</v>
      </c>
    </row>
    <row r="68" spans="1:14" x14ac:dyDescent="0.3">
      <c r="A68" s="3" t="s">
        <v>62</v>
      </c>
      <c r="B68" s="4"/>
      <c r="C68" s="4"/>
      <c r="D68" s="4"/>
      <c r="E68" s="4"/>
      <c r="F68" s="5">
        <f>273</f>
        <v>273</v>
      </c>
      <c r="G68" s="4"/>
      <c r="H68" s="4"/>
      <c r="I68" s="4"/>
      <c r="J68" s="4"/>
      <c r="K68" s="4"/>
      <c r="L68" s="4"/>
      <c r="M68" s="4"/>
      <c r="N68" s="5">
        <f t="shared" si="8"/>
        <v>273</v>
      </c>
    </row>
    <row r="69" spans="1:14" x14ac:dyDescent="0.3">
      <c r="A69" s="3" t="s">
        <v>63</v>
      </c>
      <c r="B69" s="5">
        <f>443.5</f>
        <v>443.5</v>
      </c>
      <c r="C69" s="5">
        <f>-1306.5</f>
        <v>-1306.5</v>
      </c>
      <c r="D69" s="5">
        <f>443.5</f>
        <v>443.5</v>
      </c>
      <c r="E69" s="5">
        <f>443.5</f>
        <v>443.5</v>
      </c>
      <c r="F69" s="5">
        <f>-1306.5</f>
        <v>-1306.5</v>
      </c>
      <c r="G69" s="5">
        <f>443.5</f>
        <v>443.5</v>
      </c>
      <c r="H69" s="5">
        <f>443.5</f>
        <v>443.5</v>
      </c>
      <c r="I69" s="5">
        <f>443.5</f>
        <v>443.5</v>
      </c>
      <c r="J69" s="5">
        <f>443.5</f>
        <v>443.5</v>
      </c>
      <c r="K69" s="5">
        <f>443.5</f>
        <v>443.5</v>
      </c>
      <c r="L69" s="5">
        <f>-1306.5</f>
        <v>-1306.5</v>
      </c>
      <c r="M69" s="5">
        <f>-1306.5</f>
        <v>-1306.5</v>
      </c>
      <c r="N69" s="5">
        <f t="shared" si="8"/>
        <v>-1678</v>
      </c>
    </row>
    <row r="70" spans="1:14" x14ac:dyDescent="0.3">
      <c r="A70" s="3" t="s">
        <v>64</v>
      </c>
      <c r="B70" s="5">
        <f t="shared" ref="B70:M70" si="11">23.5</f>
        <v>23.5</v>
      </c>
      <c r="C70" s="5">
        <f t="shared" si="11"/>
        <v>23.5</v>
      </c>
      <c r="D70" s="5">
        <f t="shared" si="11"/>
        <v>23.5</v>
      </c>
      <c r="E70" s="5">
        <f t="shared" si="11"/>
        <v>23.5</v>
      </c>
      <c r="F70" s="5">
        <f t="shared" si="11"/>
        <v>23.5</v>
      </c>
      <c r="G70" s="5">
        <f t="shared" si="11"/>
        <v>23.5</v>
      </c>
      <c r="H70" s="5">
        <f t="shared" si="11"/>
        <v>23.5</v>
      </c>
      <c r="I70" s="5">
        <f t="shared" si="11"/>
        <v>23.5</v>
      </c>
      <c r="J70" s="5">
        <f t="shared" si="11"/>
        <v>23.5</v>
      </c>
      <c r="K70" s="5">
        <f t="shared" si="11"/>
        <v>23.5</v>
      </c>
      <c r="L70" s="5">
        <f t="shared" si="11"/>
        <v>23.5</v>
      </c>
      <c r="M70" s="5">
        <f t="shared" si="11"/>
        <v>23.5</v>
      </c>
      <c r="N70" s="5">
        <f t="shared" si="8"/>
        <v>282</v>
      </c>
    </row>
    <row r="71" spans="1:14" x14ac:dyDescent="0.3">
      <c r="A71" s="3" t="s">
        <v>65</v>
      </c>
      <c r="B71" s="5">
        <f t="shared" ref="B71:M71" si="12">18.75</f>
        <v>18.75</v>
      </c>
      <c r="C71" s="5">
        <f t="shared" si="12"/>
        <v>18.75</v>
      </c>
      <c r="D71" s="5">
        <f t="shared" si="12"/>
        <v>18.75</v>
      </c>
      <c r="E71" s="5">
        <f t="shared" si="12"/>
        <v>18.75</v>
      </c>
      <c r="F71" s="5">
        <f t="shared" si="12"/>
        <v>18.75</v>
      </c>
      <c r="G71" s="5">
        <f t="shared" si="12"/>
        <v>18.75</v>
      </c>
      <c r="H71" s="5">
        <f t="shared" si="12"/>
        <v>18.75</v>
      </c>
      <c r="I71" s="5">
        <f t="shared" si="12"/>
        <v>18.75</v>
      </c>
      <c r="J71" s="5">
        <f t="shared" si="12"/>
        <v>18.75</v>
      </c>
      <c r="K71" s="5">
        <f t="shared" si="12"/>
        <v>18.75</v>
      </c>
      <c r="L71" s="5">
        <f t="shared" si="12"/>
        <v>18.75</v>
      </c>
      <c r="M71" s="5">
        <f t="shared" si="12"/>
        <v>18.75</v>
      </c>
      <c r="N71" s="5">
        <f t="shared" si="8"/>
        <v>225</v>
      </c>
    </row>
    <row r="72" spans="1:14" x14ac:dyDescent="0.3">
      <c r="A72" s="3" t="s">
        <v>66</v>
      </c>
      <c r="B72" s="5">
        <f t="shared" ref="B72:M72" si="13">17.42</f>
        <v>17.420000000000002</v>
      </c>
      <c r="C72" s="5">
        <f t="shared" si="13"/>
        <v>17.420000000000002</v>
      </c>
      <c r="D72" s="5">
        <f t="shared" si="13"/>
        <v>17.420000000000002</v>
      </c>
      <c r="E72" s="5">
        <f t="shared" si="13"/>
        <v>17.420000000000002</v>
      </c>
      <c r="F72" s="5">
        <f t="shared" si="13"/>
        <v>17.420000000000002</v>
      </c>
      <c r="G72" s="5">
        <f t="shared" si="13"/>
        <v>17.420000000000002</v>
      </c>
      <c r="H72" s="5">
        <f t="shared" si="13"/>
        <v>17.420000000000002</v>
      </c>
      <c r="I72" s="5">
        <f t="shared" si="13"/>
        <v>17.420000000000002</v>
      </c>
      <c r="J72" s="5">
        <f t="shared" si="13"/>
        <v>17.420000000000002</v>
      </c>
      <c r="K72" s="5">
        <f t="shared" si="13"/>
        <v>17.420000000000002</v>
      </c>
      <c r="L72" s="5">
        <f t="shared" si="13"/>
        <v>17.420000000000002</v>
      </c>
      <c r="M72" s="5">
        <f t="shared" si="13"/>
        <v>17.420000000000002</v>
      </c>
      <c r="N72" s="5">
        <f t="shared" si="8"/>
        <v>209.04000000000008</v>
      </c>
    </row>
    <row r="73" spans="1:14" x14ac:dyDescent="0.3">
      <c r="A73" s="3" t="s">
        <v>67</v>
      </c>
      <c r="B73" s="5">
        <f t="shared" ref="B73:M73" si="14">23.5</f>
        <v>23.5</v>
      </c>
      <c r="C73" s="5">
        <f t="shared" si="14"/>
        <v>23.5</v>
      </c>
      <c r="D73" s="5">
        <f t="shared" si="14"/>
        <v>23.5</v>
      </c>
      <c r="E73" s="5">
        <f t="shared" si="14"/>
        <v>23.5</v>
      </c>
      <c r="F73" s="5">
        <f t="shared" si="14"/>
        <v>23.5</v>
      </c>
      <c r="G73" s="5">
        <f t="shared" si="14"/>
        <v>23.5</v>
      </c>
      <c r="H73" s="5">
        <f t="shared" si="14"/>
        <v>23.5</v>
      </c>
      <c r="I73" s="5">
        <f t="shared" si="14"/>
        <v>23.5</v>
      </c>
      <c r="J73" s="5">
        <f t="shared" si="14"/>
        <v>23.5</v>
      </c>
      <c r="K73" s="5">
        <f t="shared" si="14"/>
        <v>23.5</v>
      </c>
      <c r="L73" s="5">
        <f t="shared" si="14"/>
        <v>23.5</v>
      </c>
      <c r="M73" s="5">
        <f t="shared" si="14"/>
        <v>23.5</v>
      </c>
      <c r="N73" s="5">
        <f t="shared" si="8"/>
        <v>282</v>
      </c>
    </row>
    <row r="74" spans="1:14" x14ac:dyDescent="0.3">
      <c r="A74" s="3" t="s">
        <v>68</v>
      </c>
      <c r="B74" s="5">
        <f>3200</f>
        <v>3200</v>
      </c>
      <c r="C74" s="5">
        <f>3200</f>
        <v>3200</v>
      </c>
      <c r="D74" s="5">
        <f>3200</f>
        <v>3200</v>
      </c>
      <c r="E74" s="5">
        <f>3200</f>
        <v>3200</v>
      </c>
      <c r="F74" s="5">
        <f>3200</f>
        <v>3200</v>
      </c>
      <c r="G74" s="5">
        <f>3200</f>
        <v>3200</v>
      </c>
      <c r="H74" s="5">
        <f>3200</f>
        <v>3200</v>
      </c>
      <c r="I74" s="5">
        <f>5902.89</f>
        <v>5902.89</v>
      </c>
      <c r="J74" s="5">
        <f>3200</f>
        <v>3200</v>
      </c>
      <c r="K74" s="5">
        <f>3200</f>
        <v>3200</v>
      </c>
      <c r="L74" s="5">
        <f>3200</f>
        <v>3200</v>
      </c>
      <c r="M74" s="5">
        <f>3200</f>
        <v>3200</v>
      </c>
      <c r="N74" s="5">
        <f t="shared" si="8"/>
        <v>41102.89</v>
      </c>
    </row>
    <row r="75" spans="1:14" x14ac:dyDescent="0.3">
      <c r="A75" s="3" t="s">
        <v>69</v>
      </c>
      <c r="B75" s="4"/>
      <c r="C75" s="5">
        <f>0</f>
        <v>0</v>
      </c>
      <c r="D75" s="5">
        <f>16.25</f>
        <v>16.25</v>
      </c>
      <c r="E75" s="4"/>
      <c r="F75" s="5">
        <f>8.79</f>
        <v>8.7899999999999991</v>
      </c>
      <c r="G75" s="5">
        <f>39.74</f>
        <v>39.74</v>
      </c>
      <c r="H75" s="4"/>
      <c r="I75" s="4"/>
      <c r="J75" s="5">
        <f>44</f>
        <v>44</v>
      </c>
      <c r="K75" s="4"/>
      <c r="L75" s="5">
        <f>120</f>
        <v>120</v>
      </c>
      <c r="M75" s="5">
        <f>150.23</f>
        <v>150.22999999999999</v>
      </c>
      <c r="N75" s="5">
        <f t="shared" si="8"/>
        <v>379.01</v>
      </c>
    </row>
    <row r="76" spans="1:14" x14ac:dyDescent="0.3">
      <c r="A76" s="3" t="s">
        <v>70</v>
      </c>
      <c r="B76" s="4"/>
      <c r="C76" s="4"/>
      <c r="D76" s="4"/>
      <c r="E76" s="4"/>
      <c r="F76" s="4"/>
      <c r="G76" s="4"/>
      <c r="H76" s="4"/>
      <c r="I76" s="4"/>
      <c r="J76" s="4"/>
      <c r="K76" s="5">
        <f>121.05</f>
        <v>121.05</v>
      </c>
      <c r="L76" s="5">
        <f>-8.95</f>
        <v>-8.9499999999999993</v>
      </c>
      <c r="M76" s="4"/>
      <c r="N76" s="5">
        <f t="shared" si="8"/>
        <v>112.1</v>
      </c>
    </row>
    <row r="77" spans="1:14" x14ac:dyDescent="0.3">
      <c r="A77" s="3" t="s">
        <v>71</v>
      </c>
      <c r="B77" s="4"/>
      <c r="C77" s="5">
        <f>-5</f>
        <v>-5</v>
      </c>
      <c r="D77" s="4"/>
      <c r="E77" s="4"/>
      <c r="F77" s="5">
        <f>19.8</f>
        <v>19.8</v>
      </c>
      <c r="G77" s="5">
        <f>-19.8</f>
        <v>-19.8</v>
      </c>
      <c r="H77" s="4"/>
      <c r="I77" s="4"/>
      <c r="J77" s="4"/>
      <c r="K77" s="4"/>
      <c r="L77" s="5">
        <f>321.35</f>
        <v>321.35000000000002</v>
      </c>
      <c r="M77" s="5">
        <f>17</f>
        <v>17</v>
      </c>
      <c r="N77" s="5">
        <f t="shared" si="8"/>
        <v>333.35</v>
      </c>
    </row>
    <row r="78" spans="1:14" x14ac:dyDescent="0.3">
      <c r="A78" s="3" t="s">
        <v>72</v>
      </c>
      <c r="B78" s="5">
        <f>-8.75</f>
        <v>-8.75</v>
      </c>
      <c r="C78" s="5">
        <f>0</f>
        <v>0</v>
      </c>
      <c r="D78" s="4"/>
      <c r="E78" s="5">
        <f>95.88</f>
        <v>95.88</v>
      </c>
      <c r="F78" s="4"/>
      <c r="G78" s="4"/>
      <c r="H78" s="5">
        <f>5.75</f>
        <v>5.75</v>
      </c>
      <c r="I78" s="5">
        <f>-5.75</f>
        <v>-5.75</v>
      </c>
      <c r="J78" s="4"/>
      <c r="K78" s="5">
        <f>8.07</f>
        <v>8.07</v>
      </c>
      <c r="L78" s="5">
        <f>3.81</f>
        <v>3.81</v>
      </c>
      <c r="M78" s="5">
        <f>216.64</f>
        <v>216.64</v>
      </c>
      <c r="N78" s="5">
        <f t="shared" si="8"/>
        <v>315.64999999999998</v>
      </c>
    </row>
    <row r="79" spans="1:14" x14ac:dyDescent="0.3">
      <c r="A79" s="3" t="s">
        <v>73</v>
      </c>
      <c r="B79" s="5">
        <f>-9.35</f>
        <v>-9.35</v>
      </c>
      <c r="C79" s="5">
        <f>0</f>
        <v>0</v>
      </c>
      <c r="D79" s="5">
        <f>-9</f>
        <v>-9</v>
      </c>
      <c r="E79" s="5">
        <f>35.6</f>
        <v>35.6</v>
      </c>
      <c r="F79" s="5">
        <f>-35.6</f>
        <v>-35.6</v>
      </c>
      <c r="G79" s="5">
        <f>13.2</f>
        <v>13.2</v>
      </c>
      <c r="H79" s="5">
        <f>8.89</f>
        <v>8.89</v>
      </c>
      <c r="I79" s="5">
        <f>-22.09</f>
        <v>-22.09</v>
      </c>
      <c r="J79" s="5">
        <f>0</f>
        <v>0</v>
      </c>
      <c r="K79" s="4"/>
      <c r="L79" s="5">
        <f>205.76</f>
        <v>205.76</v>
      </c>
      <c r="M79" s="5">
        <f>22.05</f>
        <v>22.05</v>
      </c>
      <c r="N79" s="5">
        <f t="shared" si="8"/>
        <v>209.46</v>
      </c>
    </row>
    <row r="80" spans="1:14" x14ac:dyDescent="0.3">
      <c r="A80" s="3" t="s">
        <v>74</v>
      </c>
      <c r="B80" s="4"/>
      <c r="C80" s="5">
        <f>0</f>
        <v>0</v>
      </c>
      <c r="D80" s="4"/>
      <c r="E80" s="4"/>
      <c r="F80" s="5">
        <f>0</f>
        <v>0</v>
      </c>
      <c r="G80" s="4"/>
      <c r="H80" s="4"/>
      <c r="I80" s="4"/>
      <c r="J80" s="4"/>
      <c r="K80" s="4"/>
      <c r="L80" s="5">
        <f>82.43</f>
        <v>82.43</v>
      </c>
      <c r="M80" s="4"/>
      <c r="N80" s="5">
        <f t="shared" si="8"/>
        <v>82.43</v>
      </c>
    </row>
    <row r="81" spans="1:14" x14ac:dyDescent="0.3">
      <c r="A81" s="3" t="s">
        <v>75</v>
      </c>
      <c r="B81" s="5">
        <f>9.9</f>
        <v>9.9</v>
      </c>
      <c r="C81" s="5">
        <f>10.3</f>
        <v>10.3</v>
      </c>
      <c r="D81" s="5">
        <f>-20.2</f>
        <v>-20.2</v>
      </c>
      <c r="E81" s="4"/>
      <c r="F81" s="5">
        <f>0</f>
        <v>0</v>
      </c>
      <c r="G81" s="4"/>
      <c r="H81" s="5">
        <f>21.45</f>
        <v>21.45</v>
      </c>
      <c r="I81" s="5">
        <f>-21.45</f>
        <v>-21.45</v>
      </c>
      <c r="J81" s="5">
        <f>0</f>
        <v>0</v>
      </c>
      <c r="K81" s="5">
        <f>0</f>
        <v>0</v>
      </c>
      <c r="L81" s="5">
        <f>0</f>
        <v>0</v>
      </c>
      <c r="M81" s="5">
        <f>30.02</f>
        <v>30.02</v>
      </c>
      <c r="N81" s="5">
        <f t="shared" si="8"/>
        <v>30.020000000000003</v>
      </c>
    </row>
    <row r="82" spans="1:14" x14ac:dyDescent="0.3">
      <c r="A82" s="3" t="s">
        <v>76</v>
      </c>
      <c r="B82" s="5">
        <f>3767.36</f>
        <v>3767.36</v>
      </c>
      <c r="C82" s="5">
        <f>3819.24</f>
        <v>3819.24</v>
      </c>
      <c r="D82" s="5">
        <f>11435.28</f>
        <v>11435.28</v>
      </c>
      <c r="E82" s="5">
        <f>2832.8</f>
        <v>2832.8</v>
      </c>
      <c r="F82" s="5">
        <f>5148.38</f>
        <v>5148.38</v>
      </c>
      <c r="G82" s="5">
        <f>2873.96</f>
        <v>2873.96</v>
      </c>
      <c r="H82" s="5">
        <f>2873.96</f>
        <v>2873.96</v>
      </c>
      <c r="I82" s="5">
        <f>6161.94</f>
        <v>6161.94</v>
      </c>
      <c r="J82" s="5">
        <f>6708.62</f>
        <v>6708.62</v>
      </c>
      <c r="K82" s="5">
        <f>4812.86</f>
        <v>4812.8599999999997</v>
      </c>
      <c r="L82" s="5">
        <f>5321.92</f>
        <v>5321.92</v>
      </c>
      <c r="M82" s="5">
        <f>4640.1</f>
        <v>4640.1000000000004</v>
      </c>
      <c r="N82" s="5">
        <f t="shared" si="8"/>
        <v>60396.42</v>
      </c>
    </row>
    <row r="83" spans="1:14" x14ac:dyDescent="0.3">
      <c r="A83" s="3" t="s">
        <v>77</v>
      </c>
      <c r="B83" s="5">
        <f>55.35</f>
        <v>55.35</v>
      </c>
      <c r="C83" s="5">
        <f>52.3</f>
        <v>52.3</v>
      </c>
      <c r="D83" s="5">
        <f>76.14</f>
        <v>76.14</v>
      </c>
      <c r="E83" s="5">
        <f>50.76</f>
        <v>50.76</v>
      </c>
      <c r="F83" s="5">
        <f>50.76</f>
        <v>50.76</v>
      </c>
      <c r="G83" s="5">
        <f>50.76</f>
        <v>50.76</v>
      </c>
      <c r="H83" s="5">
        <f>50.76</f>
        <v>50.76</v>
      </c>
      <c r="I83" s="5">
        <f>76.81</f>
        <v>76.81</v>
      </c>
      <c r="J83" s="5">
        <f t="shared" ref="J83:J89" si="15">51.42</f>
        <v>51.42</v>
      </c>
      <c r="K83" s="5">
        <f t="shared" ref="K83:K89" si="16">53.4</f>
        <v>53.4</v>
      </c>
      <c r="L83" s="5">
        <f t="shared" ref="L83:M89" si="17">47.46</f>
        <v>47.46</v>
      </c>
      <c r="M83" s="5">
        <f t="shared" si="17"/>
        <v>47.46</v>
      </c>
      <c r="N83" s="5">
        <f t="shared" si="8"/>
        <v>663.38</v>
      </c>
    </row>
    <row r="84" spans="1:14" x14ac:dyDescent="0.3">
      <c r="A84" s="3" t="s">
        <v>78</v>
      </c>
      <c r="B84" s="4"/>
      <c r="C84" s="4"/>
      <c r="D84" s="4"/>
      <c r="E84" s="4"/>
      <c r="F84" s="4"/>
      <c r="G84" s="4"/>
      <c r="H84" s="4"/>
      <c r="I84" s="5">
        <f>51.42</f>
        <v>51.42</v>
      </c>
      <c r="J84" s="5">
        <f t="shared" si="15"/>
        <v>51.42</v>
      </c>
      <c r="K84" s="5">
        <f t="shared" si="16"/>
        <v>53.4</v>
      </c>
      <c r="L84" s="5">
        <f t="shared" si="17"/>
        <v>47.46</v>
      </c>
      <c r="M84" s="5">
        <f t="shared" si="17"/>
        <v>47.46</v>
      </c>
      <c r="N84" s="5">
        <f t="shared" si="8"/>
        <v>251.16000000000003</v>
      </c>
    </row>
    <row r="85" spans="1:14" x14ac:dyDescent="0.3">
      <c r="A85" s="3" t="s">
        <v>79</v>
      </c>
      <c r="B85" s="5">
        <f>55.35</f>
        <v>55.35</v>
      </c>
      <c r="C85" s="5">
        <f>52.29</f>
        <v>52.29</v>
      </c>
      <c r="D85" s="5">
        <f>76.14</f>
        <v>76.14</v>
      </c>
      <c r="E85" s="5">
        <f t="shared" ref="E85:H89" si="18">50.76</f>
        <v>50.76</v>
      </c>
      <c r="F85" s="5">
        <f t="shared" si="18"/>
        <v>50.76</v>
      </c>
      <c r="G85" s="5">
        <f t="shared" si="18"/>
        <v>50.76</v>
      </c>
      <c r="H85" s="5">
        <f t="shared" si="18"/>
        <v>50.76</v>
      </c>
      <c r="I85" s="5">
        <f>76.81</f>
        <v>76.81</v>
      </c>
      <c r="J85" s="5">
        <f t="shared" si="15"/>
        <v>51.42</v>
      </c>
      <c r="K85" s="5">
        <f t="shared" si="16"/>
        <v>53.4</v>
      </c>
      <c r="L85" s="5">
        <f t="shared" si="17"/>
        <v>47.46</v>
      </c>
      <c r="M85" s="5">
        <f t="shared" si="17"/>
        <v>47.46</v>
      </c>
      <c r="N85" s="5">
        <f t="shared" si="8"/>
        <v>663.37</v>
      </c>
    </row>
    <row r="86" spans="1:14" x14ac:dyDescent="0.3">
      <c r="A86" s="3" t="s">
        <v>80</v>
      </c>
      <c r="B86" s="5">
        <f>55.35</f>
        <v>55.35</v>
      </c>
      <c r="C86" s="5">
        <f>52.3</f>
        <v>52.3</v>
      </c>
      <c r="D86" s="5">
        <f>76.14</f>
        <v>76.14</v>
      </c>
      <c r="E86" s="5">
        <f t="shared" si="18"/>
        <v>50.76</v>
      </c>
      <c r="F86" s="5">
        <f t="shared" si="18"/>
        <v>50.76</v>
      </c>
      <c r="G86" s="5">
        <f t="shared" si="18"/>
        <v>50.76</v>
      </c>
      <c r="H86" s="5">
        <f t="shared" si="18"/>
        <v>50.76</v>
      </c>
      <c r="I86" s="5">
        <f>76.8</f>
        <v>76.8</v>
      </c>
      <c r="J86" s="5">
        <f t="shared" si="15"/>
        <v>51.42</v>
      </c>
      <c r="K86" s="5">
        <f t="shared" si="16"/>
        <v>53.4</v>
      </c>
      <c r="L86" s="5">
        <f t="shared" si="17"/>
        <v>47.46</v>
      </c>
      <c r="M86" s="5">
        <f t="shared" si="17"/>
        <v>47.46</v>
      </c>
      <c r="N86" s="5">
        <f t="shared" si="8"/>
        <v>663.37</v>
      </c>
    </row>
    <row r="87" spans="1:14" x14ac:dyDescent="0.3">
      <c r="A87" s="3" t="s">
        <v>81</v>
      </c>
      <c r="B87" s="5">
        <f>55.35</f>
        <v>55.35</v>
      </c>
      <c r="C87" s="5">
        <f>52.3</f>
        <v>52.3</v>
      </c>
      <c r="D87" s="5">
        <f>76.14</f>
        <v>76.14</v>
      </c>
      <c r="E87" s="5">
        <f t="shared" si="18"/>
        <v>50.76</v>
      </c>
      <c r="F87" s="5">
        <f t="shared" si="18"/>
        <v>50.76</v>
      </c>
      <c r="G87" s="5">
        <f t="shared" si="18"/>
        <v>50.76</v>
      </c>
      <c r="H87" s="5">
        <f t="shared" si="18"/>
        <v>50.76</v>
      </c>
      <c r="I87" s="5">
        <f>76.8</f>
        <v>76.8</v>
      </c>
      <c r="J87" s="5">
        <f t="shared" si="15"/>
        <v>51.42</v>
      </c>
      <c r="K87" s="5">
        <f t="shared" si="16"/>
        <v>53.4</v>
      </c>
      <c r="L87" s="5">
        <f t="shared" si="17"/>
        <v>47.46</v>
      </c>
      <c r="M87" s="5">
        <f t="shared" si="17"/>
        <v>47.46</v>
      </c>
      <c r="N87" s="5">
        <f t="shared" si="8"/>
        <v>663.37</v>
      </c>
    </row>
    <row r="88" spans="1:14" x14ac:dyDescent="0.3">
      <c r="A88" s="3" t="s">
        <v>82</v>
      </c>
      <c r="B88" s="5">
        <f>55.35</f>
        <v>55.35</v>
      </c>
      <c r="C88" s="5">
        <f>52.3</f>
        <v>52.3</v>
      </c>
      <c r="D88" s="5">
        <f>76.13</f>
        <v>76.13</v>
      </c>
      <c r="E88" s="5">
        <f t="shared" si="18"/>
        <v>50.76</v>
      </c>
      <c r="F88" s="5">
        <f t="shared" si="18"/>
        <v>50.76</v>
      </c>
      <c r="G88" s="5">
        <f t="shared" si="18"/>
        <v>50.76</v>
      </c>
      <c r="H88" s="5">
        <f t="shared" si="18"/>
        <v>50.76</v>
      </c>
      <c r="I88" s="5">
        <f>76.8</f>
        <v>76.8</v>
      </c>
      <c r="J88" s="5">
        <f t="shared" si="15"/>
        <v>51.42</v>
      </c>
      <c r="K88" s="5">
        <f t="shared" si="16"/>
        <v>53.4</v>
      </c>
      <c r="L88" s="5">
        <f t="shared" si="17"/>
        <v>47.46</v>
      </c>
      <c r="M88" s="5">
        <f t="shared" si="17"/>
        <v>47.46</v>
      </c>
      <c r="N88" s="5">
        <f t="shared" si="8"/>
        <v>663.36</v>
      </c>
    </row>
    <row r="89" spans="1:14" x14ac:dyDescent="0.3">
      <c r="A89" s="3" t="s">
        <v>83</v>
      </c>
      <c r="B89" s="5">
        <f>55.35</f>
        <v>55.35</v>
      </c>
      <c r="C89" s="5">
        <f>52.3</f>
        <v>52.3</v>
      </c>
      <c r="D89" s="5">
        <f>76.14</f>
        <v>76.14</v>
      </c>
      <c r="E89" s="5">
        <f t="shared" si="18"/>
        <v>50.76</v>
      </c>
      <c r="F89" s="5">
        <f t="shared" si="18"/>
        <v>50.76</v>
      </c>
      <c r="G89" s="5">
        <f t="shared" si="18"/>
        <v>50.76</v>
      </c>
      <c r="H89" s="5">
        <f t="shared" si="18"/>
        <v>50.76</v>
      </c>
      <c r="I89" s="5">
        <f>76.81</f>
        <v>76.81</v>
      </c>
      <c r="J89" s="5">
        <f t="shared" si="15"/>
        <v>51.42</v>
      </c>
      <c r="K89" s="5">
        <f t="shared" si="16"/>
        <v>53.4</v>
      </c>
      <c r="L89" s="5">
        <f t="shared" si="17"/>
        <v>47.46</v>
      </c>
      <c r="M89" s="5">
        <f t="shared" si="17"/>
        <v>47.46</v>
      </c>
      <c r="N89" s="5">
        <f t="shared" si="8"/>
        <v>663.38</v>
      </c>
    </row>
    <row r="90" spans="1:14" x14ac:dyDescent="0.3">
      <c r="A90" s="3" t="s">
        <v>84</v>
      </c>
      <c r="B90" s="4"/>
      <c r="C90" s="4"/>
      <c r="D90" s="5">
        <f>190.6</f>
        <v>190.6</v>
      </c>
      <c r="E90" s="5">
        <f>450.4</f>
        <v>450.4</v>
      </c>
      <c r="F90" s="5">
        <f>-636.25</f>
        <v>-636.25</v>
      </c>
      <c r="G90" s="5">
        <f>950.1</f>
        <v>950.1</v>
      </c>
      <c r="H90" s="5">
        <f>-1600.57</f>
        <v>-1600.57</v>
      </c>
      <c r="I90" s="5">
        <f>1128.43</f>
        <v>1128.43</v>
      </c>
      <c r="J90" s="5">
        <f>746.04</f>
        <v>746.04</v>
      </c>
      <c r="K90" s="4"/>
      <c r="L90" s="5">
        <f>387.6</f>
        <v>387.6</v>
      </c>
      <c r="M90" s="5">
        <f>1533.55</f>
        <v>1533.55</v>
      </c>
      <c r="N90" s="5">
        <f t="shared" si="8"/>
        <v>3149.8999999999996</v>
      </c>
    </row>
    <row r="91" spans="1:14" x14ac:dyDescent="0.3">
      <c r="A91" s="3" t="s">
        <v>85</v>
      </c>
      <c r="B91" s="4"/>
      <c r="C91" s="4"/>
      <c r="D91" s="4"/>
      <c r="E91" s="4"/>
      <c r="F91" s="4"/>
      <c r="G91" s="4"/>
      <c r="H91" s="4"/>
      <c r="I91" s="4"/>
      <c r="J91" s="4"/>
      <c r="K91" s="5">
        <f>437.88</f>
        <v>437.88</v>
      </c>
      <c r="L91" s="4"/>
      <c r="M91" s="4"/>
      <c r="N91" s="5">
        <f t="shared" si="8"/>
        <v>437.88</v>
      </c>
    </row>
    <row r="92" spans="1:14" x14ac:dyDescent="0.3">
      <c r="A92" s="3" t="s">
        <v>86</v>
      </c>
      <c r="B92" s="4"/>
      <c r="C92" s="4"/>
      <c r="D92" s="4"/>
      <c r="E92" s="4"/>
      <c r="F92" s="4"/>
      <c r="G92" s="4"/>
      <c r="H92" s="5">
        <f>480.17</f>
        <v>480.17</v>
      </c>
      <c r="I92" s="4"/>
      <c r="J92" s="4"/>
      <c r="K92" s="4"/>
      <c r="L92" s="5">
        <f>1285.62</f>
        <v>1285.6199999999999</v>
      </c>
      <c r="M92" s="4"/>
      <c r="N92" s="5">
        <f t="shared" si="8"/>
        <v>1765.79</v>
      </c>
    </row>
    <row r="93" spans="1:14" x14ac:dyDescent="0.3">
      <c r="A93" s="3" t="s">
        <v>87</v>
      </c>
      <c r="B93" s="4"/>
      <c r="C93" s="4"/>
      <c r="D93" s="5">
        <f>703</f>
        <v>703</v>
      </c>
      <c r="E93" s="5">
        <f>209.78</f>
        <v>209.78</v>
      </c>
      <c r="F93" s="4"/>
      <c r="G93" s="4"/>
      <c r="H93" s="4"/>
      <c r="I93" s="4"/>
      <c r="J93" s="4"/>
      <c r="K93" s="5">
        <f>1079.52</f>
        <v>1079.52</v>
      </c>
      <c r="L93" s="4"/>
      <c r="M93" s="5">
        <f>733.09</f>
        <v>733.09</v>
      </c>
      <c r="N93" s="5">
        <f t="shared" si="8"/>
        <v>2725.39</v>
      </c>
    </row>
    <row r="94" spans="1:14" x14ac:dyDescent="0.3">
      <c r="A94" s="3" t="s">
        <v>88</v>
      </c>
      <c r="B94" s="4"/>
      <c r="C94" s="5">
        <f>466.98</f>
        <v>466.98</v>
      </c>
      <c r="D94" s="4"/>
      <c r="E94" s="4"/>
      <c r="F94" s="4"/>
      <c r="G94" s="4"/>
      <c r="H94" s="4"/>
      <c r="I94" s="4"/>
      <c r="J94" s="4"/>
      <c r="K94" s="4"/>
      <c r="L94" s="5">
        <f>1719.52</f>
        <v>1719.52</v>
      </c>
      <c r="M94" s="4"/>
      <c r="N94" s="5">
        <f t="shared" si="8"/>
        <v>2186.5</v>
      </c>
    </row>
    <row r="95" spans="1:14" x14ac:dyDescent="0.3">
      <c r="A95" s="3" t="s">
        <v>89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f>1270</f>
        <v>1270</v>
      </c>
      <c r="M95" s="4"/>
      <c r="N95" s="5">
        <f t="shared" si="8"/>
        <v>1270</v>
      </c>
    </row>
    <row r="96" spans="1:14" x14ac:dyDescent="0.3">
      <c r="A96" s="3" t="s">
        <v>90</v>
      </c>
      <c r="B96" s="5">
        <f>197.73</f>
        <v>197.73</v>
      </c>
      <c r="C96" s="5">
        <f>54.53</f>
        <v>54.53</v>
      </c>
      <c r="D96" s="5">
        <f>18.19</f>
        <v>18.190000000000001</v>
      </c>
      <c r="E96" s="5">
        <f>118.36</f>
        <v>118.36</v>
      </c>
      <c r="F96" s="4"/>
      <c r="G96" s="5">
        <f>349.88</f>
        <v>349.88</v>
      </c>
      <c r="H96" s="5">
        <f>329.2</f>
        <v>329.2</v>
      </c>
      <c r="I96" s="5">
        <f>492.78</f>
        <v>492.78</v>
      </c>
      <c r="J96" s="5">
        <f>225.81</f>
        <v>225.81</v>
      </c>
      <c r="K96" s="5">
        <f>470.14</f>
        <v>470.14</v>
      </c>
      <c r="L96" s="5">
        <f>252.67</f>
        <v>252.67</v>
      </c>
      <c r="M96" s="5">
        <f>115.54</f>
        <v>115.54</v>
      </c>
      <c r="N96" s="5">
        <f t="shared" si="8"/>
        <v>2624.83</v>
      </c>
    </row>
    <row r="97" spans="1:14" x14ac:dyDescent="0.3">
      <c r="A97" s="3" t="s">
        <v>91</v>
      </c>
      <c r="B97" s="6">
        <f t="shared" ref="B97:M97" si="19">(((((((((((((((((((((((((((((((((((((((((((((B51)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</f>
        <v>16790.349999999995</v>
      </c>
      <c r="C97" s="6">
        <f t="shared" si="19"/>
        <v>10187.399999999998</v>
      </c>
      <c r="D97" s="6">
        <f t="shared" si="19"/>
        <v>18279.169999999998</v>
      </c>
      <c r="E97" s="6">
        <f t="shared" si="19"/>
        <v>10275.600000000002</v>
      </c>
      <c r="F97" s="6">
        <f t="shared" si="19"/>
        <v>11412.100000000002</v>
      </c>
      <c r="G97" s="6">
        <f t="shared" si="19"/>
        <v>10497.26</v>
      </c>
      <c r="H97" s="6">
        <f t="shared" si="19"/>
        <v>8610.6500000000033</v>
      </c>
      <c r="I97" s="6">
        <f t="shared" si="19"/>
        <v>23444.1</v>
      </c>
      <c r="J97" s="6">
        <f t="shared" si="19"/>
        <v>14730.789999999999</v>
      </c>
      <c r="K97" s="6">
        <f t="shared" si="19"/>
        <v>17909.729999999996</v>
      </c>
      <c r="L97" s="6">
        <f t="shared" si="19"/>
        <v>22806.669999999991</v>
      </c>
      <c r="M97" s="6">
        <f t="shared" si="19"/>
        <v>17999.159999999993</v>
      </c>
      <c r="N97" s="6">
        <f t="shared" si="8"/>
        <v>182942.97999999998</v>
      </c>
    </row>
    <row r="98" spans="1:14" x14ac:dyDescent="0.3">
      <c r="A98" s="3" t="s">
        <v>92</v>
      </c>
      <c r="B98" s="6">
        <f t="shared" ref="B98:M98" si="20">((B40)+(B50))+(B97)</f>
        <v>84974.8</v>
      </c>
      <c r="C98" s="6">
        <f t="shared" si="20"/>
        <v>71939.850000000006</v>
      </c>
      <c r="D98" s="6">
        <f t="shared" si="20"/>
        <v>70879.700000000012</v>
      </c>
      <c r="E98" s="6">
        <f t="shared" si="20"/>
        <v>76259.690000000017</v>
      </c>
      <c r="F98" s="6">
        <f t="shared" si="20"/>
        <v>111152.41</v>
      </c>
      <c r="G98" s="6">
        <f t="shared" si="20"/>
        <v>75306.789999999994</v>
      </c>
      <c r="H98" s="6">
        <f t="shared" si="20"/>
        <v>78860.180000000008</v>
      </c>
      <c r="I98" s="6">
        <f t="shared" si="20"/>
        <v>114560.00000000003</v>
      </c>
      <c r="J98" s="6">
        <f t="shared" si="20"/>
        <v>98212.52</v>
      </c>
      <c r="K98" s="6">
        <f t="shared" si="20"/>
        <v>118071.14</v>
      </c>
      <c r="L98" s="6">
        <f t="shared" si="20"/>
        <v>114293.59</v>
      </c>
      <c r="M98" s="6">
        <f t="shared" si="20"/>
        <v>108738.08999999998</v>
      </c>
      <c r="N98" s="6">
        <f t="shared" si="8"/>
        <v>1123248.76</v>
      </c>
    </row>
    <row r="99" spans="1:14" x14ac:dyDescent="0.3">
      <c r="A99" s="3" t="s">
        <v>93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>
        <f t="shared" si="8"/>
        <v>0</v>
      </c>
    </row>
    <row r="100" spans="1:14" x14ac:dyDescent="0.3">
      <c r="A100" s="3" t="s">
        <v>94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>
        <f t="shared" si="8"/>
        <v>0</v>
      </c>
    </row>
    <row r="101" spans="1:14" x14ac:dyDescent="0.3">
      <c r="A101" s="3" t="s">
        <v>95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>
        <f t="shared" si="8"/>
        <v>0</v>
      </c>
    </row>
    <row r="102" spans="1:14" x14ac:dyDescent="0.3">
      <c r="A102" s="3" t="s">
        <v>96</v>
      </c>
      <c r="B102" s="5">
        <f>1259.42</f>
        <v>1259.42</v>
      </c>
      <c r="C102" s="5">
        <f>1277.29</f>
        <v>1277.29</v>
      </c>
      <c r="D102" s="5">
        <f>1905.7</f>
        <v>1905.7</v>
      </c>
      <c r="E102" s="5">
        <f>1260.75</f>
        <v>1260.75</v>
      </c>
      <c r="F102" s="5">
        <f>1308.06</f>
        <v>1308.06</v>
      </c>
      <c r="G102" s="5">
        <f>1320.43</f>
        <v>1320.43</v>
      </c>
      <c r="H102" s="5">
        <f>1322.31</f>
        <v>1322.31</v>
      </c>
      <c r="I102" s="5">
        <f>1991.64</f>
        <v>1991.64</v>
      </c>
      <c r="J102" s="5">
        <f>1322.11</f>
        <v>1322.11</v>
      </c>
      <c r="K102" s="5">
        <f>1328.81</f>
        <v>1328.81</v>
      </c>
      <c r="L102" s="5">
        <f>1327.43</f>
        <v>1327.43</v>
      </c>
      <c r="M102" s="5">
        <f>1329.58</f>
        <v>1329.58</v>
      </c>
      <c r="N102" s="5">
        <f t="shared" si="8"/>
        <v>16953.53</v>
      </c>
    </row>
    <row r="103" spans="1:14" x14ac:dyDescent="0.3">
      <c r="A103" s="3" t="s">
        <v>97</v>
      </c>
      <c r="B103" s="5">
        <f>5037.65</f>
        <v>5037.6499999999996</v>
      </c>
      <c r="C103" s="5">
        <f>5109.17</f>
        <v>5109.17</v>
      </c>
      <c r="D103" s="5">
        <f>7622.82</f>
        <v>7622.82</v>
      </c>
      <c r="E103" s="5">
        <f>5042.99</f>
        <v>5042.99</v>
      </c>
      <c r="F103" s="5">
        <f>5232.22</f>
        <v>5232.22</v>
      </c>
      <c r="G103" s="5">
        <f>5281.75</f>
        <v>5281.75</v>
      </c>
      <c r="H103" s="5">
        <f>5289.22</f>
        <v>5289.22</v>
      </c>
      <c r="I103" s="5">
        <f>7966.55</f>
        <v>7966.55</v>
      </c>
      <c r="J103" s="5">
        <f>5288.44</f>
        <v>5288.44</v>
      </c>
      <c r="K103" s="5">
        <f>5315.24</f>
        <v>5315.24</v>
      </c>
      <c r="L103" s="5">
        <f>5309.71</f>
        <v>5309.71</v>
      </c>
      <c r="M103" s="5">
        <f>5318.33</f>
        <v>5318.33</v>
      </c>
      <c r="N103" s="5">
        <f t="shared" si="8"/>
        <v>67814.09</v>
      </c>
    </row>
    <row r="104" spans="1:14" x14ac:dyDescent="0.3">
      <c r="A104" s="3" t="s">
        <v>98</v>
      </c>
      <c r="B104" s="5">
        <f>2096</f>
        <v>2096</v>
      </c>
      <c r="C104" s="5">
        <f>-31</f>
        <v>-31</v>
      </c>
      <c r="D104" s="5">
        <f>-5111</f>
        <v>-5111</v>
      </c>
      <c r="E104" s="5">
        <f>1113</f>
        <v>1113</v>
      </c>
      <c r="F104" s="5">
        <f>1572</f>
        <v>1572</v>
      </c>
      <c r="G104" s="5">
        <f>770</f>
        <v>770</v>
      </c>
      <c r="H104" s="5">
        <f>1316</f>
        <v>1316</v>
      </c>
      <c r="I104" s="5">
        <f>-4604</f>
        <v>-4604</v>
      </c>
      <c r="J104" s="5">
        <f>32</f>
        <v>32</v>
      </c>
      <c r="K104" s="5">
        <f>1919</f>
        <v>1919</v>
      </c>
      <c r="L104" s="5">
        <f>1399</f>
        <v>1399</v>
      </c>
      <c r="M104" s="5">
        <f>772</f>
        <v>772</v>
      </c>
      <c r="N104" s="5">
        <f t="shared" ref="N104:N167" si="21">(((((((((((B104)+(C104))+(D104))+(E104))+(F104))+(G104))+(H104))+(I104))+(J104))+(K104))+(L104))+(M104)</f>
        <v>1243</v>
      </c>
    </row>
    <row r="105" spans="1:14" x14ac:dyDescent="0.3">
      <c r="A105" s="3" t="s">
        <v>99</v>
      </c>
      <c r="B105" s="5">
        <f>1259.42</f>
        <v>1259.42</v>
      </c>
      <c r="C105" s="5">
        <f>1277.29</f>
        <v>1277.29</v>
      </c>
      <c r="D105" s="5">
        <f>1905.7</f>
        <v>1905.7</v>
      </c>
      <c r="E105" s="5">
        <f>1260.75</f>
        <v>1260.75</v>
      </c>
      <c r="F105" s="5">
        <f>1308.06</f>
        <v>1308.06</v>
      </c>
      <c r="G105" s="5">
        <f>1320.43</f>
        <v>1320.43</v>
      </c>
      <c r="H105" s="5">
        <f>1322.31</f>
        <v>1322.31</v>
      </c>
      <c r="I105" s="5">
        <f>1991.64</f>
        <v>1991.64</v>
      </c>
      <c r="J105" s="5">
        <f>1322.11</f>
        <v>1322.11</v>
      </c>
      <c r="K105" s="5">
        <f>1328.81</f>
        <v>1328.81</v>
      </c>
      <c r="L105" s="5">
        <f>1327.43</f>
        <v>1327.43</v>
      </c>
      <c r="M105" s="5">
        <f>1329.58</f>
        <v>1329.58</v>
      </c>
      <c r="N105" s="5">
        <f t="shared" si="21"/>
        <v>16953.53</v>
      </c>
    </row>
    <row r="106" spans="1:14" x14ac:dyDescent="0.3">
      <c r="A106" s="3" t="s">
        <v>100</v>
      </c>
      <c r="B106" s="5">
        <f>5037.65</f>
        <v>5037.6499999999996</v>
      </c>
      <c r="C106" s="5">
        <f>5109.17</f>
        <v>5109.17</v>
      </c>
      <c r="D106" s="5">
        <f>7622.82</f>
        <v>7622.82</v>
      </c>
      <c r="E106" s="5">
        <f>5042.99</f>
        <v>5042.99</v>
      </c>
      <c r="F106" s="5">
        <f>5232.22</f>
        <v>5232.22</v>
      </c>
      <c r="G106" s="5">
        <f>5281.75</f>
        <v>5281.75</v>
      </c>
      <c r="H106" s="5">
        <f>5289.22</f>
        <v>5289.22</v>
      </c>
      <c r="I106" s="5">
        <f>7966.55</f>
        <v>7966.55</v>
      </c>
      <c r="J106" s="5">
        <f>5288.44</f>
        <v>5288.44</v>
      </c>
      <c r="K106" s="5">
        <f>5315.24</f>
        <v>5315.24</v>
      </c>
      <c r="L106" s="5">
        <f>5309.71</f>
        <v>5309.71</v>
      </c>
      <c r="M106" s="5">
        <f>5318.33</f>
        <v>5318.33</v>
      </c>
      <c r="N106" s="5">
        <f t="shared" si="21"/>
        <v>67814.09</v>
      </c>
    </row>
    <row r="107" spans="1:14" x14ac:dyDescent="0.3">
      <c r="A107" s="3" t="s">
        <v>101</v>
      </c>
      <c r="B107" s="6">
        <f t="shared" ref="B107:M107" si="22">(((((B101)+(B102))+(B103))+(B104))+(B105))+(B106)</f>
        <v>14690.14</v>
      </c>
      <c r="C107" s="6">
        <f t="shared" si="22"/>
        <v>12741.92</v>
      </c>
      <c r="D107" s="6">
        <f t="shared" si="22"/>
        <v>13946.04</v>
      </c>
      <c r="E107" s="6">
        <f t="shared" si="22"/>
        <v>13720.48</v>
      </c>
      <c r="F107" s="6">
        <f t="shared" si="22"/>
        <v>14652.560000000001</v>
      </c>
      <c r="G107" s="6">
        <f t="shared" si="22"/>
        <v>13974.36</v>
      </c>
      <c r="H107" s="6">
        <f t="shared" si="22"/>
        <v>14539.060000000001</v>
      </c>
      <c r="I107" s="6">
        <f t="shared" si="22"/>
        <v>15312.380000000001</v>
      </c>
      <c r="J107" s="6">
        <f t="shared" si="22"/>
        <v>13253.099999999999</v>
      </c>
      <c r="K107" s="6">
        <f t="shared" si="22"/>
        <v>15207.099999999999</v>
      </c>
      <c r="L107" s="6">
        <f t="shared" si="22"/>
        <v>14673.279999999999</v>
      </c>
      <c r="M107" s="6">
        <f t="shared" si="22"/>
        <v>14067.82</v>
      </c>
      <c r="N107" s="6">
        <f t="shared" si="21"/>
        <v>170778.24000000002</v>
      </c>
    </row>
    <row r="108" spans="1:14" x14ac:dyDescent="0.3">
      <c r="A108" s="3" t="s">
        <v>102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>
        <f t="shared" si="21"/>
        <v>0</v>
      </c>
    </row>
    <row r="109" spans="1:14" x14ac:dyDescent="0.3">
      <c r="A109" s="3" t="s">
        <v>96</v>
      </c>
      <c r="B109" s="5">
        <f>3963.2</f>
        <v>3963.2</v>
      </c>
      <c r="C109" s="5">
        <f>2699.17</f>
        <v>2699.17</v>
      </c>
      <c r="D109" s="5">
        <f>4183.47</f>
        <v>4183.47</v>
      </c>
      <c r="E109" s="5">
        <f>3750.18</f>
        <v>3750.18</v>
      </c>
      <c r="F109" s="5">
        <f>2913.06</f>
        <v>2913.06</v>
      </c>
      <c r="G109" s="5">
        <f>2921.93</f>
        <v>2921.93</v>
      </c>
      <c r="H109" s="5">
        <f>2940.47</f>
        <v>2940.47</v>
      </c>
      <c r="I109" s="5">
        <f>4402.94</f>
        <v>4402.9399999999996</v>
      </c>
      <c r="J109" s="5">
        <f>3011.81</f>
        <v>3011.81</v>
      </c>
      <c r="K109" s="5">
        <f>4611.52</f>
        <v>4611.5200000000004</v>
      </c>
      <c r="L109" s="5">
        <f>3632.49</f>
        <v>3632.49</v>
      </c>
      <c r="M109" s="5">
        <f>3093.85</f>
        <v>3093.85</v>
      </c>
      <c r="N109" s="5">
        <f t="shared" si="21"/>
        <v>42124.09</v>
      </c>
    </row>
    <row r="110" spans="1:14" x14ac:dyDescent="0.3">
      <c r="A110" s="3" t="s">
        <v>97</v>
      </c>
      <c r="B110" s="5">
        <f>15852.79</f>
        <v>15852.79</v>
      </c>
      <c r="C110" s="5">
        <f>10796.67</f>
        <v>10796.67</v>
      </c>
      <c r="D110" s="5">
        <f>16733.86</f>
        <v>16733.86</v>
      </c>
      <c r="E110" s="5">
        <f>15000.72</f>
        <v>15000.72</v>
      </c>
      <c r="F110" s="5">
        <f>11652.25</f>
        <v>11652.25</v>
      </c>
      <c r="G110" s="5">
        <f>11687.68</f>
        <v>11687.68</v>
      </c>
      <c r="H110" s="5">
        <f>11761.86</f>
        <v>11761.86</v>
      </c>
      <c r="I110" s="5">
        <f>8611.72</f>
        <v>8611.7199999999993</v>
      </c>
      <c r="J110" s="5">
        <f>12047.24</f>
        <v>12047.24</v>
      </c>
      <c r="K110" s="5">
        <f>18446.05</f>
        <v>18446.05</v>
      </c>
      <c r="L110" s="5">
        <f>14529.96</f>
        <v>14529.96</v>
      </c>
      <c r="M110" s="5">
        <f>12375.4</f>
        <v>12375.4</v>
      </c>
      <c r="N110" s="5">
        <f t="shared" si="21"/>
        <v>159496.19999999998</v>
      </c>
    </row>
    <row r="111" spans="1:14" x14ac:dyDescent="0.3">
      <c r="A111" s="3" t="s">
        <v>98</v>
      </c>
      <c r="B111" s="5">
        <f>3398</f>
        <v>3398</v>
      </c>
      <c r="C111" s="5">
        <f>-808</f>
        <v>-808</v>
      </c>
      <c r="D111" s="5">
        <f>-9794</f>
        <v>-9794</v>
      </c>
      <c r="E111" s="5">
        <f>301</f>
        <v>301</v>
      </c>
      <c r="F111" s="5">
        <f>4435</f>
        <v>4435</v>
      </c>
      <c r="G111" s="5">
        <f>1593</f>
        <v>1593</v>
      </c>
      <c r="H111" s="5">
        <f>2839</f>
        <v>2839</v>
      </c>
      <c r="I111" s="5">
        <f>-10080</f>
        <v>-10080</v>
      </c>
      <c r="J111" s="5">
        <f>165</f>
        <v>165</v>
      </c>
      <c r="K111" s="5">
        <f>3285</f>
        <v>3285</v>
      </c>
      <c r="L111" s="5">
        <f>4468</f>
        <v>4468</v>
      </c>
      <c r="M111" s="5">
        <f>1587</f>
        <v>1587</v>
      </c>
      <c r="N111" s="5">
        <f t="shared" si="21"/>
        <v>1389</v>
      </c>
    </row>
    <row r="112" spans="1:14" x14ac:dyDescent="0.3">
      <c r="A112" s="3" t="s">
        <v>99</v>
      </c>
      <c r="B112" s="5">
        <f>3963.2</f>
        <v>3963.2</v>
      </c>
      <c r="C112" s="5">
        <f>2699.17</f>
        <v>2699.17</v>
      </c>
      <c r="D112" s="5">
        <f>4183.47</f>
        <v>4183.47</v>
      </c>
      <c r="E112" s="5">
        <f>3750.18</f>
        <v>3750.18</v>
      </c>
      <c r="F112" s="5">
        <f>2913.06</f>
        <v>2913.06</v>
      </c>
      <c r="G112" s="5">
        <f>2921.93</f>
        <v>2921.93</v>
      </c>
      <c r="H112" s="5">
        <f>2940.47</f>
        <v>2940.47</v>
      </c>
      <c r="I112" s="5">
        <f>4402.94</f>
        <v>4402.9399999999996</v>
      </c>
      <c r="J112" s="5">
        <f>3011.81</f>
        <v>3011.81</v>
      </c>
      <c r="K112" s="5">
        <f>4611.52</f>
        <v>4611.5200000000004</v>
      </c>
      <c r="L112" s="5">
        <f>3632.49</f>
        <v>3632.49</v>
      </c>
      <c r="M112" s="5">
        <f>3093.85</f>
        <v>3093.85</v>
      </c>
      <c r="N112" s="5">
        <f t="shared" si="21"/>
        <v>42124.09</v>
      </c>
    </row>
    <row r="113" spans="1:14" x14ac:dyDescent="0.3">
      <c r="A113" s="3" t="s">
        <v>100</v>
      </c>
      <c r="B113" s="5">
        <f>15852.79</f>
        <v>15852.79</v>
      </c>
      <c r="C113" s="5">
        <f>10796.67</f>
        <v>10796.67</v>
      </c>
      <c r="D113" s="5">
        <f>16733.86</f>
        <v>16733.86</v>
      </c>
      <c r="E113" s="5">
        <f>15000.72</f>
        <v>15000.72</v>
      </c>
      <c r="F113" s="5">
        <f>11652.25</f>
        <v>11652.25</v>
      </c>
      <c r="G113" s="5">
        <f>11687.68</f>
        <v>11687.68</v>
      </c>
      <c r="H113" s="5">
        <f>11761.86</f>
        <v>11761.86</v>
      </c>
      <c r="I113" s="5">
        <f>17611.72</f>
        <v>17611.72</v>
      </c>
      <c r="J113" s="5">
        <f>12047.24</f>
        <v>12047.24</v>
      </c>
      <c r="K113" s="5">
        <f>18446.05</f>
        <v>18446.05</v>
      </c>
      <c r="L113" s="5">
        <f>14529.96</f>
        <v>14529.96</v>
      </c>
      <c r="M113" s="5">
        <f>12375.4</f>
        <v>12375.4</v>
      </c>
      <c r="N113" s="5">
        <f t="shared" si="21"/>
        <v>168496.19999999998</v>
      </c>
    </row>
    <row r="114" spans="1:14" x14ac:dyDescent="0.3">
      <c r="A114" s="3" t="s">
        <v>103</v>
      </c>
      <c r="B114" s="6">
        <f t="shared" ref="B114:M114" si="23">(((((B108)+(B109))+(B110))+(B111))+(B112))+(B113)</f>
        <v>43029.98</v>
      </c>
      <c r="C114" s="6">
        <f t="shared" si="23"/>
        <v>26183.68</v>
      </c>
      <c r="D114" s="6">
        <f t="shared" si="23"/>
        <v>32040.660000000003</v>
      </c>
      <c r="E114" s="6">
        <f t="shared" si="23"/>
        <v>37802.799999999996</v>
      </c>
      <c r="F114" s="6">
        <f t="shared" si="23"/>
        <v>33565.619999999995</v>
      </c>
      <c r="G114" s="6">
        <f t="shared" si="23"/>
        <v>30812.22</v>
      </c>
      <c r="H114" s="6">
        <f t="shared" si="23"/>
        <v>32243.660000000003</v>
      </c>
      <c r="I114" s="6">
        <f t="shared" si="23"/>
        <v>24949.32</v>
      </c>
      <c r="J114" s="6">
        <f t="shared" si="23"/>
        <v>30283.1</v>
      </c>
      <c r="K114" s="6">
        <f t="shared" si="23"/>
        <v>49400.14</v>
      </c>
      <c r="L114" s="6">
        <f t="shared" si="23"/>
        <v>40792.899999999994</v>
      </c>
      <c r="M114" s="6">
        <f t="shared" si="23"/>
        <v>32525.5</v>
      </c>
      <c r="N114" s="6">
        <f t="shared" si="21"/>
        <v>413629.57999999996</v>
      </c>
    </row>
    <row r="115" spans="1:14" x14ac:dyDescent="0.3">
      <c r="A115" s="3" t="s">
        <v>104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>
        <f t="shared" si="21"/>
        <v>0</v>
      </c>
    </row>
    <row r="116" spans="1:14" x14ac:dyDescent="0.3">
      <c r="A116" s="3" t="s">
        <v>96</v>
      </c>
      <c r="B116" s="5">
        <f>2600.31</f>
        <v>2600.31</v>
      </c>
      <c r="C116" s="5">
        <f>2617.55</f>
        <v>2617.5500000000002</v>
      </c>
      <c r="D116" s="5">
        <f>3837.19</f>
        <v>3837.19</v>
      </c>
      <c r="E116" s="5">
        <f>2576.66</f>
        <v>2576.66</v>
      </c>
      <c r="F116" s="5">
        <f>2928.93</f>
        <v>2928.93</v>
      </c>
      <c r="G116" s="5">
        <f>2829.3</f>
        <v>2829.3</v>
      </c>
      <c r="H116" s="5">
        <f>2910.83</f>
        <v>2910.83</v>
      </c>
      <c r="I116" s="5">
        <f>4242.09</f>
        <v>4242.09</v>
      </c>
      <c r="J116" s="5">
        <f>2940.51</f>
        <v>2940.51</v>
      </c>
      <c r="K116" s="5">
        <f>2788.76</f>
        <v>2788.76</v>
      </c>
      <c r="L116" s="5">
        <f>2637.4</f>
        <v>2637.4</v>
      </c>
      <c r="M116" s="5">
        <f>2649.07</f>
        <v>2649.07</v>
      </c>
      <c r="N116" s="5">
        <f t="shared" si="21"/>
        <v>35558.600000000006</v>
      </c>
    </row>
    <row r="117" spans="1:14" x14ac:dyDescent="0.3">
      <c r="A117" s="3" t="s">
        <v>97</v>
      </c>
      <c r="B117" s="5">
        <f>10401.21</f>
        <v>10401.209999999999</v>
      </c>
      <c r="C117" s="5">
        <f>10470.18</f>
        <v>10470.18</v>
      </c>
      <c r="D117" s="5">
        <f>15348.76</f>
        <v>15348.76</v>
      </c>
      <c r="E117" s="5">
        <f>10306.64</f>
        <v>10306.64</v>
      </c>
      <c r="F117" s="5">
        <f>11715.71</f>
        <v>11715.71</v>
      </c>
      <c r="G117" s="5">
        <f>11317.16</f>
        <v>11317.16</v>
      </c>
      <c r="H117" s="5">
        <f>11643.28</f>
        <v>11643.28</v>
      </c>
      <c r="I117" s="5">
        <f>16968.33</f>
        <v>16968.330000000002</v>
      </c>
      <c r="J117" s="5">
        <f>11762.05</f>
        <v>11762.05</v>
      </c>
      <c r="K117" s="5">
        <f>11076.28</f>
        <v>11076.28</v>
      </c>
      <c r="L117" s="5">
        <f>10549.58</f>
        <v>10549.58</v>
      </c>
      <c r="M117" s="5">
        <f>10596.28</f>
        <v>10596.28</v>
      </c>
      <c r="N117" s="5">
        <f t="shared" si="21"/>
        <v>142155.46</v>
      </c>
    </row>
    <row r="118" spans="1:14" x14ac:dyDescent="0.3">
      <c r="A118" s="3" t="s">
        <v>98</v>
      </c>
      <c r="B118" s="5">
        <f>4474</f>
        <v>4474</v>
      </c>
      <c r="C118" s="5">
        <f>78</f>
        <v>78</v>
      </c>
      <c r="D118" s="5">
        <f>-10514</f>
        <v>-10514</v>
      </c>
      <c r="E118" s="5">
        <f>2512</f>
        <v>2512</v>
      </c>
      <c r="F118" s="5">
        <f>4116</f>
        <v>4116</v>
      </c>
      <c r="G118" s="5">
        <f>1547</f>
        <v>1547</v>
      </c>
      <c r="H118" s="5">
        <f>2699</f>
        <v>2699</v>
      </c>
      <c r="I118" s="5">
        <f>-10007</f>
        <v>-10007</v>
      </c>
      <c r="J118" s="5">
        <f>-323</f>
        <v>-323</v>
      </c>
      <c r="K118" s="5">
        <f>4313</f>
        <v>4313</v>
      </c>
      <c r="L118" s="5">
        <f>2651</f>
        <v>2651</v>
      </c>
      <c r="M118" s="5">
        <f>1100</f>
        <v>1100</v>
      </c>
      <c r="N118" s="5">
        <f t="shared" si="21"/>
        <v>2646</v>
      </c>
    </row>
    <row r="119" spans="1:14" x14ac:dyDescent="0.3">
      <c r="A119" s="3" t="s">
        <v>99</v>
      </c>
      <c r="B119" s="5">
        <f>2600.31</f>
        <v>2600.31</v>
      </c>
      <c r="C119" s="5">
        <f>2617.55</f>
        <v>2617.5500000000002</v>
      </c>
      <c r="D119" s="5">
        <f>3837.19</f>
        <v>3837.19</v>
      </c>
      <c r="E119" s="5">
        <f>2576.66</f>
        <v>2576.66</v>
      </c>
      <c r="F119" s="5">
        <f>2928.93</f>
        <v>2928.93</v>
      </c>
      <c r="G119" s="5">
        <f>2829.3</f>
        <v>2829.3</v>
      </c>
      <c r="H119" s="5">
        <f>2910.83</f>
        <v>2910.83</v>
      </c>
      <c r="I119" s="5">
        <f>4242.09</f>
        <v>4242.09</v>
      </c>
      <c r="J119" s="5">
        <f>2940.51</f>
        <v>2940.51</v>
      </c>
      <c r="K119" s="5">
        <f>2788.76</f>
        <v>2788.76</v>
      </c>
      <c r="L119" s="5">
        <f>2637.4</f>
        <v>2637.4</v>
      </c>
      <c r="M119" s="5">
        <f>2649.07</f>
        <v>2649.07</v>
      </c>
      <c r="N119" s="5">
        <f t="shared" si="21"/>
        <v>35558.600000000006</v>
      </c>
    </row>
    <row r="120" spans="1:14" x14ac:dyDescent="0.3">
      <c r="A120" s="3" t="s">
        <v>100</v>
      </c>
      <c r="B120" s="5">
        <f>10401.21</f>
        <v>10401.209999999999</v>
      </c>
      <c r="C120" s="5">
        <f>10470.18</f>
        <v>10470.18</v>
      </c>
      <c r="D120" s="5">
        <f>15348.76</f>
        <v>15348.76</v>
      </c>
      <c r="E120" s="5">
        <f>10306.64</f>
        <v>10306.64</v>
      </c>
      <c r="F120" s="5">
        <f>11715.71</f>
        <v>11715.71</v>
      </c>
      <c r="G120" s="5">
        <f>11317.16</f>
        <v>11317.16</v>
      </c>
      <c r="H120" s="5">
        <f>11643.28</f>
        <v>11643.28</v>
      </c>
      <c r="I120" s="5">
        <f>16968.33</f>
        <v>16968.330000000002</v>
      </c>
      <c r="J120" s="5">
        <f>11762.05</f>
        <v>11762.05</v>
      </c>
      <c r="K120" s="5">
        <f>11076.28</f>
        <v>11076.28</v>
      </c>
      <c r="L120" s="5">
        <f>10549.58</f>
        <v>10549.58</v>
      </c>
      <c r="M120" s="5">
        <f>10596.28</f>
        <v>10596.28</v>
      </c>
      <c r="N120" s="5">
        <f t="shared" si="21"/>
        <v>142155.46</v>
      </c>
    </row>
    <row r="121" spans="1:14" x14ac:dyDescent="0.3">
      <c r="A121" s="3" t="s">
        <v>105</v>
      </c>
      <c r="B121" s="6">
        <f t="shared" ref="B121:M121" si="24">(((((B115)+(B116))+(B117))+(B118))+(B119))+(B120)</f>
        <v>30477.039999999997</v>
      </c>
      <c r="C121" s="6">
        <f t="shared" si="24"/>
        <v>26253.46</v>
      </c>
      <c r="D121" s="6">
        <f t="shared" si="24"/>
        <v>27857.9</v>
      </c>
      <c r="E121" s="6">
        <f t="shared" si="24"/>
        <v>28278.6</v>
      </c>
      <c r="F121" s="6">
        <f t="shared" si="24"/>
        <v>33405.279999999999</v>
      </c>
      <c r="G121" s="6">
        <f t="shared" si="24"/>
        <v>29839.919999999998</v>
      </c>
      <c r="H121" s="6">
        <f t="shared" si="24"/>
        <v>31807.22</v>
      </c>
      <c r="I121" s="6">
        <f t="shared" si="24"/>
        <v>32413.840000000004</v>
      </c>
      <c r="J121" s="6">
        <f t="shared" si="24"/>
        <v>29082.12</v>
      </c>
      <c r="K121" s="6">
        <f t="shared" si="24"/>
        <v>32043.08</v>
      </c>
      <c r="L121" s="6">
        <f t="shared" si="24"/>
        <v>29024.959999999999</v>
      </c>
      <c r="M121" s="6">
        <f t="shared" si="24"/>
        <v>27590.700000000004</v>
      </c>
      <c r="N121" s="6">
        <f t="shared" si="21"/>
        <v>358074.12000000005</v>
      </c>
    </row>
    <row r="122" spans="1:14" x14ac:dyDescent="0.3">
      <c r="A122" s="3" t="s">
        <v>106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>
        <f t="shared" si="21"/>
        <v>0</v>
      </c>
    </row>
    <row r="123" spans="1:14" x14ac:dyDescent="0.3">
      <c r="A123" s="3" t="s">
        <v>96</v>
      </c>
      <c r="B123" s="5">
        <f>7992.92</f>
        <v>7992.92</v>
      </c>
      <c r="C123" s="5">
        <f>7649.57</f>
        <v>7649.57</v>
      </c>
      <c r="D123" s="5">
        <f>10873.34</f>
        <v>10873.34</v>
      </c>
      <c r="E123" s="5">
        <f>7232.43</f>
        <v>7232.43</v>
      </c>
      <c r="F123" s="5">
        <f>8247.43</f>
        <v>8247.43</v>
      </c>
      <c r="G123" s="5">
        <f>8756.83</f>
        <v>8756.83</v>
      </c>
      <c r="H123" s="5">
        <f>8775.23</f>
        <v>8775.23</v>
      </c>
      <c r="I123" s="5">
        <f>13376.11</f>
        <v>13376.11</v>
      </c>
      <c r="J123" s="5">
        <f>9521.66</f>
        <v>9521.66</v>
      </c>
      <c r="K123" s="5">
        <f>9184.48</f>
        <v>9184.48</v>
      </c>
      <c r="L123" s="5">
        <f>9108.08</f>
        <v>9108.08</v>
      </c>
      <c r="M123" s="5">
        <f>8679.65</f>
        <v>8679.65</v>
      </c>
      <c r="N123" s="5">
        <f t="shared" si="21"/>
        <v>109397.73</v>
      </c>
    </row>
    <row r="124" spans="1:14" x14ac:dyDescent="0.3">
      <c r="A124" s="3" t="s">
        <v>97</v>
      </c>
      <c r="B124" s="5">
        <f>31971.59</f>
        <v>31971.59</v>
      </c>
      <c r="C124" s="5">
        <f>30598.27</f>
        <v>30598.27</v>
      </c>
      <c r="D124" s="5">
        <f>43493.38</f>
        <v>43493.38</v>
      </c>
      <c r="E124" s="5">
        <f>29217.11</f>
        <v>29217.11</v>
      </c>
      <c r="F124" s="5">
        <f>32989.31</f>
        <v>32989.31</v>
      </c>
      <c r="G124" s="5">
        <f>35027.28</f>
        <v>35027.279999999999</v>
      </c>
      <c r="H124" s="5">
        <f>35100.9</f>
        <v>35100.9</v>
      </c>
      <c r="I124" s="5">
        <f>53504.55</f>
        <v>53504.55</v>
      </c>
      <c r="J124" s="5">
        <f>38086.64</f>
        <v>38086.639999999999</v>
      </c>
      <c r="K124" s="5">
        <f>36626.64</f>
        <v>36626.639999999999</v>
      </c>
      <c r="L124" s="5">
        <f>36876.61</f>
        <v>36876.61</v>
      </c>
      <c r="M124" s="5">
        <f>34718.63</f>
        <v>34718.629999999997</v>
      </c>
      <c r="N124" s="5">
        <f t="shared" si="21"/>
        <v>438210.91</v>
      </c>
    </row>
    <row r="125" spans="1:14" x14ac:dyDescent="0.3">
      <c r="A125" s="3" t="s">
        <v>98</v>
      </c>
      <c r="B125" s="5">
        <f>11455</f>
        <v>11455</v>
      </c>
      <c r="C125" s="5">
        <f>-2801</f>
        <v>-2801</v>
      </c>
      <c r="D125" s="5">
        <f>-28260</f>
        <v>-28260</v>
      </c>
      <c r="E125" s="5">
        <f>4803</f>
        <v>4803</v>
      </c>
      <c r="F125" s="5">
        <f>14581</f>
        <v>14581</v>
      </c>
      <c r="G125" s="5">
        <f>5384</f>
        <v>5384</v>
      </c>
      <c r="H125" s="5">
        <f>11121</f>
        <v>11121</v>
      </c>
      <c r="I125" s="5">
        <f>-31474</f>
        <v>-31474</v>
      </c>
      <c r="J125" s="5">
        <f>-25</f>
        <v>-25</v>
      </c>
      <c r="K125" s="5">
        <f>13530</f>
        <v>13530</v>
      </c>
      <c r="L125" s="5">
        <f>9133</f>
        <v>9133</v>
      </c>
      <c r="M125" s="5">
        <f>2859</f>
        <v>2859</v>
      </c>
      <c r="N125" s="5">
        <f t="shared" si="21"/>
        <v>10306</v>
      </c>
    </row>
    <row r="126" spans="1:14" x14ac:dyDescent="0.3">
      <c r="A126" s="3" t="s">
        <v>99</v>
      </c>
      <c r="B126" s="5">
        <f>7992.92</f>
        <v>7992.92</v>
      </c>
      <c r="C126" s="5">
        <f>7649.57</f>
        <v>7649.57</v>
      </c>
      <c r="D126" s="5">
        <f>10873.34</f>
        <v>10873.34</v>
      </c>
      <c r="E126" s="5">
        <f>7232.43</f>
        <v>7232.43</v>
      </c>
      <c r="F126" s="5">
        <f>8247.43</f>
        <v>8247.43</v>
      </c>
      <c r="G126" s="5">
        <f>8756.83</f>
        <v>8756.83</v>
      </c>
      <c r="H126" s="5">
        <f>8775.23</f>
        <v>8775.23</v>
      </c>
      <c r="I126" s="5">
        <f>13376.12</f>
        <v>13376.12</v>
      </c>
      <c r="J126" s="5">
        <f>9521.66</f>
        <v>9521.66</v>
      </c>
      <c r="K126" s="5">
        <f>9184.48</f>
        <v>9184.48</v>
      </c>
      <c r="L126" s="5">
        <f>9108.08</f>
        <v>9108.08</v>
      </c>
      <c r="M126" s="5">
        <f>8679.65</f>
        <v>8679.65</v>
      </c>
      <c r="N126" s="5">
        <f t="shared" si="21"/>
        <v>109397.73999999999</v>
      </c>
    </row>
    <row r="127" spans="1:14" x14ac:dyDescent="0.3">
      <c r="A127" s="3" t="s">
        <v>100</v>
      </c>
      <c r="B127" s="5">
        <f>31971.59</f>
        <v>31971.59</v>
      </c>
      <c r="C127" s="5">
        <f>30598.27</f>
        <v>30598.27</v>
      </c>
      <c r="D127" s="5">
        <f>43493.38</f>
        <v>43493.38</v>
      </c>
      <c r="E127" s="5">
        <f>28929.72</f>
        <v>28929.72</v>
      </c>
      <c r="F127" s="5">
        <f>32989.31</f>
        <v>32989.31</v>
      </c>
      <c r="G127" s="5">
        <f>35027.31</f>
        <v>35027.31</v>
      </c>
      <c r="H127" s="5">
        <f>35100.91</f>
        <v>35100.910000000003</v>
      </c>
      <c r="I127" s="5">
        <f>53504.55</f>
        <v>53504.55</v>
      </c>
      <c r="J127" s="5">
        <f>38086.64</f>
        <v>38086.639999999999</v>
      </c>
      <c r="K127" s="5">
        <f>36626.63</f>
        <v>36626.629999999997</v>
      </c>
      <c r="L127" s="5">
        <f>36876.61</f>
        <v>36876.61</v>
      </c>
      <c r="M127" s="5">
        <f>34718.63</f>
        <v>34718.629999999997</v>
      </c>
      <c r="N127" s="5">
        <f t="shared" si="21"/>
        <v>437923.55</v>
      </c>
    </row>
    <row r="128" spans="1:14" x14ac:dyDescent="0.3">
      <c r="A128" s="3" t="s">
        <v>107</v>
      </c>
      <c r="B128" s="6">
        <f t="shared" ref="B128:M128" si="25">(((((B122)+(B123))+(B124))+(B125))+(B126))+(B127)</f>
        <v>91384.02</v>
      </c>
      <c r="C128" s="6">
        <f t="shared" si="25"/>
        <v>73694.679999999993</v>
      </c>
      <c r="D128" s="6">
        <f t="shared" si="25"/>
        <v>80473.440000000002</v>
      </c>
      <c r="E128" s="6">
        <f t="shared" si="25"/>
        <v>77414.69</v>
      </c>
      <c r="F128" s="6">
        <f t="shared" si="25"/>
        <v>97054.48</v>
      </c>
      <c r="G128" s="6">
        <f t="shared" si="25"/>
        <v>92952.25</v>
      </c>
      <c r="H128" s="6">
        <f t="shared" si="25"/>
        <v>98873.27</v>
      </c>
      <c r="I128" s="6">
        <f t="shared" si="25"/>
        <v>102287.33000000002</v>
      </c>
      <c r="J128" s="6">
        <f t="shared" si="25"/>
        <v>95191.6</v>
      </c>
      <c r="K128" s="6">
        <f t="shared" si="25"/>
        <v>105152.22999999998</v>
      </c>
      <c r="L128" s="6">
        <f t="shared" si="25"/>
        <v>101102.38</v>
      </c>
      <c r="M128" s="6">
        <f t="shared" si="25"/>
        <v>89655.56</v>
      </c>
      <c r="N128" s="6">
        <f t="shared" si="21"/>
        <v>1105235.93</v>
      </c>
    </row>
    <row r="129" spans="1:14" x14ac:dyDescent="0.3">
      <c r="A129" s="3" t="s">
        <v>108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>
        <f t="shared" si="21"/>
        <v>0</v>
      </c>
    </row>
    <row r="130" spans="1:14" x14ac:dyDescent="0.3">
      <c r="A130" s="3" t="s">
        <v>96</v>
      </c>
      <c r="B130" s="5">
        <f>1199.75</f>
        <v>1199.75</v>
      </c>
      <c r="C130" s="5">
        <f>1169.4</f>
        <v>1169.4000000000001</v>
      </c>
      <c r="D130" s="5">
        <f>1799.6</f>
        <v>1799.6</v>
      </c>
      <c r="E130" s="5">
        <f>1194.44</f>
        <v>1194.44</v>
      </c>
      <c r="F130" s="5">
        <f>1235.16</f>
        <v>1235.1600000000001</v>
      </c>
      <c r="G130" s="5">
        <f>1206.83</f>
        <v>1206.83</v>
      </c>
      <c r="H130" s="5">
        <f>1262.35</f>
        <v>1262.3499999999999</v>
      </c>
      <c r="I130" s="5">
        <f>2124.13</f>
        <v>2124.13</v>
      </c>
      <c r="J130" s="5">
        <f>1294.33</f>
        <v>1294.33</v>
      </c>
      <c r="K130" s="5">
        <f>1297.07</f>
        <v>1297.07</v>
      </c>
      <c r="L130" s="5">
        <f>1282.01</f>
        <v>1282.01</v>
      </c>
      <c r="M130" s="5">
        <f>1394.31</f>
        <v>1394.31</v>
      </c>
      <c r="N130" s="5">
        <f t="shared" si="21"/>
        <v>16459.38</v>
      </c>
    </row>
    <row r="131" spans="1:14" x14ac:dyDescent="0.3">
      <c r="A131" s="3" t="s">
        <v>97</v>
      </c>
      <c r="B131" s="5">
        <f>4799.02</f>
        <v>4799.0200000000004</v>
      </c>
      <c r="C131" s="5">
        <f>4677.59</f>
        <v>4677.59</v>
      </c>
      <c r="D131" s="5">
        <f>7198.36</f>
        <v>7198.36</v>
      </c>
      <c r="E131" s="5">
        <f>4777.77</f>
        <v>4777.7700000000004</v>
      </c>
      <c r="F131" s="5">
        <f>4940.6</f>
        <v>4940.6000000000004</v>
      </c>
      <c r="G131" s="5">
        <f>4827.33</f>
        <v>4827.33</v>
      </c>
      <c r="H131" s="5">
        <f>5049.38</f>
        <v>5049.38</v>
      </c>
      <c r="I131" s="5">
        <f>8496.51</f>
        <v>8496.51</v>
      </c>
      <c r="J131" s="5">
        <f>5177.34</f>
        <v>5177.34</v>
      </c>
      <c r="K131" s="5">
        <f>5188.27</f>
        <v>5188.2700000000004</v>
      </c>
      <c r="L131" s="5">
        <f>5128.04</f>
        <v>5128.04</v>
      </c>
      <c r="M131" s="5">
        <f>5577.2</f>
        <v>5577.2</v>
      </c>
      <c r="N131" s="5">
        <f t="shared" si="21"/>
        <v>65837.410000000018</v>
      </c>
    </row>
    <row r="132" spans="1:14" x14ac:dyDescent="0.3">
      <c r="A132" s="3" t="s">
        <v>98</v>
      </c>
      <c r="B132" s="5">
        <f>1566</f>
        <v>1566</v>
      </c>
      <c r="C132" s="5">
        <f>331</f>
        <v>331</v>
      </c>
      <c r="D132" s="5">
        <f>-5007</f>
        <v>-5007</v>
      </c>
      <c r="E132" s="5">
        <f>794</f>
        <v>794</v>
      </c>
      <c r="F132" s="5">
        <f>1640</f>
        <v>1640</v>
      </c>
      <c r="G132" s="5">
        <f>866</f>
        <v>866</v>
      </c>
      <c r="H132" s="5">
        <f>3402</f>
        <v>3402</v>
      </c>
      <c r="I132" s="5">
        <f>-6493</f>
        <v>-6493</v>
      </c>
      <c r="J132" s="5">
        <f>47</f>
        <v>47</v>
      </c>
      <c r="K132" s="5">
        <f>2090</f>
        <v>2090</v>
      </c>
      <c r="L132" s="5">
        <f>1031</f>
        <v>1031</v>
      </c>
      <c r="M132" s="5">
        <f>2024</f>
        <v>2024</v>
      </c>
      <c r="N132" s="5">
        <f t="shared" si="21"/>
        <v>2291</v>
      </c>
    </row>
    <row r="133" spans="1:14" x14ac:dyDescent="0.3">
      <c r="A133" s="3" t="s">
        <v>99</v>
      </c>
      <c r="B133" s="5">
        <f>1199.75</f>
        <v>1199.75</v>
      </c>
      <c r="C133" s="5">
        <f>1169.4</f>
        <v>1169.4000000000001</v>
      </c>
      <c r="D133" s="5">
        <f>1799.6</f>
        <v>1799.6</v>
      </c>
      <c r="E133" s="5">
        <f>1194.44</f>
        <v>1194.44</v>
      </c>
      <c r="F133" s="5">
        <f>1235.16</f>
        <v>1235.1600000000001</v>
      </c>
      <c r="G133" s="5">
        <f>1206.83</f>
        <v>1206.83</v>
      </c>
      <c r="H133" s="5">
        <f>1262.35</f>
        <v>1262.3499999999999</v>
      </c>
      <c r="I133" s="5">
        <f>2124.13</f>
        <v>2124.13</v>
      </c>
      <c r="J133" s="5">
        <f>1294.33</f>
        <v>1294.33</v>
      </c>
      <c r="K133" s="5">
        <f>1297.07</f>
        <v>1297.07</v>
      </c>
      <c r="L133" s="5">
        <f>1282.01</f>
        <v>1282.01</v>
      </c>
      <c r="M133" s="5">
        <f>1394.31</f>
        <v>1394.31</v>
      </c>
      <c r="N133" s="5">
        <f t="shared" si="21"/>
        <v>16459.38</v>
      </c>
    </row>
    <row r="134" spans="1:14" x14ac:dyDescent="0.3">
      <c r="A134" s="3" t="s">
        <v>100</v>
      </c>
      <c r="B134" s="5">
        <f>4799.02</f>
        <v>4799.0200000000004</v>
      </c>
      <c r="C134" s="5">
        <f>4677.59</f>
        <v>4677.59</v>
      </c>
      <c r="D134" s="5">
        <f>7198.36</f>
        <v>7198.36</v>
      </c>
      <c r="E134" s="5">
        <f>4777.77</f>
        <v>4777.7700000000004</v>
      </c>
      <c r="F134" s="5">
        <f>4940.6</f>
        <v>4940.6000000000004</v>
      </c>
      <c r="G134" s="5">
        <f>4827.33</f>
        <v>4827.33</v>
      </c>
      <c r="H134" s="5">
        <f>5049.38</f>
        <v>5049.38</v>
      </c>
      <c r="I134" s="5">
        <f>8496.51</f>
        <v>8496.51</v>
      </c>
      <c r="J134" s="5">
        <f>5177.34</f>
        <v>5177.34</v>
      </c>
      <c r="K134" s="5">
        <f>5188.27</f>
        <v>5188.2700000000004</v>
      </c>
      <c r="L134" s="5">
        <f>5128.04</f>
        <v>5128.04</v>
      </c>
      <c r="M134" s="5">
        <f>5577.2</f>
        <v>5577.2</v>
      </c>
      <c r="N134" s="5">
        <f t="shared" si="21"/>
        <v>65837.410000000018</v>
      </c>
    </row>
    <row r="135" spans="1:14" x14ac:dyDescent="0.3">
      <c r="A135" s="3" t="s">
        <v>109</v>
      </c>
      <c r="B135" s="6">
        <f t="shared" ref="B135:M135" si="26">(((((B129)+(B130))+(B131))+(B132))+(B133))+(B134)</f>
        <v>13563.54</v>
      </c>
      <c r="C135" s="6">
        <f t="shared" si="26"/>
        <v>12024.98</v>
      </c>
      <c r="D135" s="6">
        <f t="shared" si="26"/>
        <v>12988.919999999998</v>
      </c>
      <c r="E135" s="6">
        <f t="shared" si="26"/>
        <v>12738.420000000002</v>
      </c>
      <c r="F135" s="6">
        <f t="shared" si="26"/>
        <v>13991.52</v>
      </c>
      <c r="G135" s="6">
        <f t="shared" si="26"/>
        <v>12934.32</v>
      </c>
      <c r="H135" s="6">
        <f t="shared" si="26"/>
        <v>16025.46</v>
      </c>
      <c r="I135" s="6">
        <f t="shared" si="26"/>
        <v>14748.279999999999</v>
      </c>
      <c r="J135" s="6">
        <f t="shared" si="26"/>
        <v>12990.34</v>
      </c>
      <c r="K135" s="6">
        <f t="shared" si="26"/>
        <v>15060.68</v>
      </c>
      <c r="L135" s="6">
        <f t="shared" si="26"/>
        <v>13851.099999999999</v>
      </c>
      <c r="M135" s="6">
        <f t="shared" si="26"/>
        <v>15967.02</v>
      </c>
      <c r="N135" s="6">
        <f t="shared" si="21"/>
        <v>166884.57999999999</v>
      </c>
    </row>
    <row r="136" spans="1:14" x14ac:dyDescent="0.3">
      <c r="A136" s="3" t="s">
        <v>110</v>
      </c>
      <c r="B136" s="6">
        <f t="shared" ref="B136:M136" si="27">(((((B100)+(B107))+(B114))+(B121))+(B128))+(B135)</f>
        <v>193144.72</v>
      </c>
      <c r="C136" s="6">
        <f t="shared" si="27"/>
        <v>150898.72</v>
      </c>
      <c r="D136" s="6">
        <f t="shared" si="27"/>
        <v>167306.96000000002</v>
      </c>
      <c r="E136" s="6">
        <f t="shared" si="27"/>
        <v>169954.99000000002</v>
      </c>
      <c r="F136" s="6">
        <f t="shared" si="27"/>
        <v>192669.46</v>
      </c>
      <c r="G136" s="6">
        <f t="shared" si="27"/>
        <v>180513.07</v>
      </c>
      <c r="H136" s="6">
        <f t="shared" si="27"/>
        <v>193488.67</v>
      </c>
      <c r="I136" s="6">
        <f t="shared" si="27"/>
        <v>189711.15000000002</v>
      </c>
      <c r="J136" s="6">
        <f t="shared" si="27"/>
        <v>180800.25999999998</v>
      </c>
      <c r="K136" s="6">
        <f t="shared" si="27"/>
        <v>216863.22999999998</v>
      </c>
      <c r="L136" s="6">
        <f t="shared" si="27"/>
        <v>199444.62</v>
      </c>
      <c r="M136" s="6">
        <f t="shared" si="27"/>
        <v>179806.6</v>
      </c>
      <c r="N136" s="6">
        <f t="shared" si="21"/>
        <v>2214602.4499999997</v>
      </c>
    </row>
    <row r="137" spans="1:14" x14ac:dyDescent="0.3">
      <c r="A137" s="3" t="s">
        <v>111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>
        <f t="shared" si="21"/>
        <v>0</v>
      </c>
    </row>
    <row r="138" spans="1:14" x14ac:dyDescent="0.3">
      <c r="A138" s="3" t="s">
        <v>112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>
        <f t="shared" si="21"/>
        <v>0</v>
      </c>
    </row>
    <row r="139" spans="1:14" x14ac:dyDescent="0.3">
      <c r="A139" s="3" t="s">
        <v>96</v>
      </c>
      <c r="B139" s="5">
        <f>32</f>
        <v>32</v>
      </c>
      <c r="C139" s="5">
        <f>49.51</f>
        <v>49.51</v>
      </c>
      <c r="D139" s="5">
        <f>82.55</f>
        <v>82.55</v>
      </c>
      <c r="E139" s="5">
        <f>66.09</f>
        <v>66.09</v>
      </c>
      <c r="F139" s="5">
        <f>55.77</f>
        <v>55.77</v>
      </c>
      <c r="G139" s="5">
        <f>65.43</f>
        <v>65.430000000000007</v>
      </c>
      <c r="H139" s="5">
        <f>61.2</f>
        <v>61.2</v>
      </c>
      <c r="I139" s="5">
        <f>123.92</f>
        <v>123.92</v>
      </c>
      <c r="J139" s="5">
        <f>74.9</f>
        <v>74.900000000000006</v>
      </c>
      <c r="K139" s="5">
        <f>62.55</f>
        <v>62.55</v>
      </c>
      <c r="L139" s="5">
        <f>56.95</f>
        <v>56.95</v>
      </c>
      <c r="M139" s="5">
        <f>95.59</f>
        <v>95.59</v>
      </c>
      <c r="N139" s="5">
        <f t="shared" si="21"/>
        <v>826.46</v>
      </c>
    </row>
    <row r="140" spans="1:14" x14ac:dyDescent="0.3">
      <c r="A140" s="3" t="s">
        <v>97</v>
      </c>
      <c r="B140" s="5">
        <f>128</f>
        <v>128</v>
      </c>
      <c r="C140" s="5">
        <f>198.04</f>
        <v>198.04</v>
      </c>
      <c r="D140" s="5">
        <f>330.2</f>
        <v>330.2</v>
      </c>
      <c r="E140" s="5">
        <f>264.36</f>
        <v>264.36</v>
      </c>
      <c r="F140" s="5">
        <f>223.06</f>
        <v>223.06</v>
      </c>
      <c r="G140" s="5">
        <f>261.7</f>
        <v>261.7</v>
      </c>
      <c r="H140" s="5">
        <f>244.8</f>
        <v>244.8</v>
      </c>
      <c r="I140" s="5">
        <f>495.68</f>
        <v>495.68</v>
      </c>
      <c r="J140" s="5">
        <f>299.6</f>
        <v>299.60000000000002</v>
      </c>
      <c r="K140" s="5">
        <f>250.2</f>
        <v>250.2</v>
      </c>
      <c r="L140" s="5">
        <f>227.8</f>
        <v>227.8</v>
      </c>
      <c r="M140" s="5">
        <f>382.36</f>
        <v>382.36</v>
      </c>
      <c r="N140" s="5">
        <f t="shared" si="21"/>
        <v>3305.8</v>
      </c>
    </row>
    <row r="141" spans="1:14" x14ac:dyDescent="0.3">
      <c r="A141" s="3" t="s">
        <v>99</v>
      </c>
      <c r="B141" s="5">
        <f>32</f>
        <v>32</v>
      </c>
      <c r="C141" s="5">
        <f>49.51</f>
        <v>49.51</v>
      </c>
      <c r="D141" s="5">
        <f>82.55</f>
        <v>82.55</v>
      </c>
      <c r="E141" s="5">
        <f>66.09</f>
        <v>66.09</v>
      </c>
      <c r="F141" s="5">
        <f>55.77</f>
        <v>55.77</v>
      </c>
      <c r="G141" s="5">
        <f>65.43</f>
        <v>65.430000000000007</v>
      </c>
      <c r="H141" s="5">
        <f>61.2</f>
        <v>61.2</v>
      </c>
      <c r="I141" s="5">
        <f>123.92</f>
        <v>123.92</v>
      </c>
      <c r="J141" s="5">
        <f>74.9</f>
        <v>74.900000000000006</v>
      </c>
      <c r="K141" s="5">
        <f>62.55</f>
        <v>62.55</v>
      </c>
      <c r="L141" s="5">
        <f>56.95</f>
        <v>56.95</v>
      </c>
      <c r="M141" s="5">
        <f>95.59</f>
        <v>95.59</v>
      </c>
      <c r="N141" s="5">
        <f t="shared" si="21"/>
        <v>826.46</v>
      </c>
    </row>
    <row r="142" spans="1:14" x14ac:dyDescent="0.3">
      <c r="A142" s="3" t="s">
        <v>100</v>
      </c>
      <c r="B142" s="5">
        <f>128</f>
        <v>128</v>
      </c>
      <c r="C142" s="5">
        <f>198.04</f>
        <v>198.04</v>
      </c>
      <c r="D142" s="5">
        <f>330.2</f>
        <v>330.2</v>
      </c>
      <c r="E142" s="5">
        <f>264.36</f>
        <v>264.36</v>
      </c>
      <c r="F142" s="5">
        <f>223.06</f>
        <v>223.06</v>
      </c>
      <c r="G142" s="5">
        <f>261.7</f>
        <v>261.7</v>
      </c>
      <c r="H142" s="5">
        <f>244.8</f>
        <v>244.8</v>
      </c>
      <c r="I142" s="5">
        <f>495.68</f>
        <v>495.68</v>
      </c>
      <c r="J142" s="5">
        <f>299.6</f>
        <v>299.60000000000002</v>
      </c>
      <c r="K142" s="5">
        <f>250.2</f>
        <v>250.2</v>
      </c>
      <c r="L142" s="5">
        <f>227.8</f>
        <v>227.8</v>
      </c>
      <c r="M142" s="5">
        <f>382.36</f>
        <v>382.36</v>
      </c>
      <c r="N142" s="5">
        <f t="shared" si="21"/>
        <v>3305.8</v>
      </c>
    </row>
    <row r="143" spans="1:14" x14ac:dyDescent="0.3">
      <c r="A143" s="3" t="s">
        <v>113</v>
      </c>
      <c r="B143" s="6">
        <f t="shared" ref="B143:M143" si="28">((((B138)+(B139))+(B140))+(B141))+(B142)</f>
        <v>320</v>
      </c>
      <c r="C143" s="6">
        <f t="shared" si="28"/>
        <v>495.1</v>
      </c>
      <c r="D143" s="6">
        <f t="shared" si="28"/>
        <v>825.5</v>
      </c>
      <c r="E143" s="6">
        <f t="shared" si="28"/>
        <v>660.90000000000009</v>
      </c>
      <c r="F143" s="6">
        <f t="shared" si="28"/>
        <v>557.66</v>
      </c>
      <c r="G143" s="6">
        <f t="shared" si="28"/>
        <v>654.26</v>
      </c>
      <c r="H143" s="6">
        <f t="shared" si="28"/>
        <v>612</v>
      </c>
      <c r="I143" s="6">
        <f t="shared" si="28"/>
        <v>1239.2</v>
      </c>
      <c r="J143" s="6">
        <f t="shared" si="28"/>
        <v>749</v>
      </c>
      <c r="K143" s="6">
        <f t="shared" si="28"/>
        <v>625.5</v>
      </c>
      <c r="L143" s="6">
        <f t="shared" si="28"/>
        <v>569.5</v>
      </c>
      <c r="M143" s="6">
        <f t="shared" si="28"/>
        <v>955.90000000000009</v>
      </c>
      <c r="N143" s="6">
        <f t="shared" si="21"/>
        <v>8264.52</v>
      </c>
    </row>
    <row r="144" spans="1:14" x14ac:dyDescent="0.3">
      <c r="A144" s="3" t="s">
        <v>114</v>
      </c>
      <c r="B144" s="5">
        <f>27</f>
        <v>27</v>
      </c>
      <c r="C144" s="5">
        <f>515</f>
        <v>515</v>
      </c>
      <c r="D144" s="5">
        <f>262.86</f>
        <v>262.86</v>
      </c>
      <c r="E144" s="4"/>
      <c r="F144" s="4"/>
      <c r="G144" s="5">
        <f>-299</f>
        <v>-299</v>
      </c>
      <c r="H144" s="5">
        <f>199</f>
        <v>199</v>
      </c>
      <c r="I144" s="5">
        <f>549</f>
        <v>549</v>
      </c>
      <c r="J144" s="4"/>
      <c r="K144" s="4"/>
      <c r="L144" s="5">
        <f>745</f>
        <v>745</v>
      </c>
      <c r="M144" s="4"/>
      <c r="N144" s="5">
        <f t="shared" si="21"/>
        <v>1998.8600000000001</v>
      </c>
    </row>
    <row r="145" spans="1:14" x14ac:dyDescent="0.3">
      <c r="A145" s="3" t="s">
        <v>97</v>
      </c>
      <c r="B145" s="5">
        <f>400</f>
        <v>400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>
        <f>400</f>
        <v>400</v>
      </c>
      <c r="N145" s="5">
        <f t="shared" si="21"/>
        <v>800</v>
      </c>
    </row>
    <row r="146" spans="1:14" x14ac:dyDescent="0.3">
      <c r="A146" s="3" t="s">
        <v>100</v>
      </c>
      <c r="B146" s="5">
        <f>354</f>
        <v>354</v>
      </c>
      <c r="C146" s="4"/>
      <c r="D146" s="4"/>
      <c r="E146" s="4"/>
      <c r="F146" s="4"/>
      <c r="G146" s="5">
        <f>75</f>
        <v>75</v>
      </c>
      <c r="H146" s="4"/>
      <c r="I146" s="4"/>
      <c r="J146" s="4"/>
      <c r="K146" s="4"/>
      <c r="L146" s="4"/>
      <c r="M146" s="4"/>
      <c r="N146" s="5">
        <f t="shared" si="21"/>
        <v>429</v>
      </c>
    </row>
    <row r="147" spans="1:14" x14ac:dyDescent="0.3">
      <c r="A147" s="3" t="s">
        <v>115</v>
      </c>
      <c r="B147" s="6">
        <f t="shared" ref="B147:M147" si="29">((B144)+(B145))+(B146)</f>
        <v>781</v>
      </c>
      <c r="C147" s="6">
        <f t="shared" si="29"/>
        <v>515</v>
      </c>
      <c r="D147" s="6">
        <f t="shared" si="29"/>
        <v>262.86</v>
      </c>
      <c r="E147" s="6">
        <f t="shared" si="29"/>
        <v>0</v>
      </c>
      <c r="F147" s="6">
        <f t="shared" si="29"/>
        <v>0</v>
      </c>
      <c r="G147" s="6">
        <f t="shared" si="29"/>
        <v>-224</v>
      </c>
      <c r="H147" s="6">
        <f t="shared" si="29"/>
        <v>199</v>
      </c>
      <c r="I147" s="6">
        <f t="shared" si="29"/>
        <v>549</v>
      </c>
      <c r="J147" s="6">
        <f t="shared" si="29"/>
        <v>0</v>
      </c>
      <c r="K147" s="6">
        <f t="shared" si="29"/>
        <v>0</v>
      </c>
      <c r="L147" s="6">
        <f t="shared" si="29"/>
        <v>745</v>
      </c>
      <c r="M147" s="6">
        <f t="shared" si="29"/>
        <v>400</v>
      </c>
      <c r="N147" s="6">
        <f t="shared" si="21"/>
        <v>3227.86</v>
      </c>
    </row>
    <row r="148" spans="1:14" x14ac:dyDescent="0.3">
      <c r="A148" s="3" t="s">
        <v>116</v>
      </c>
      <c r="B148" s="4"/>
      <c r="C148" s="5">
        <f>720</f>
        <v>720</v>
      </c>
      <c r="D148" s="5">
        <f>4343.07</f>
        <v>4343.07</v>
      </c>
      <c r="E148" s="5">
        <f>434.4</f>
        <v>434.4</v>
      </c>
      <c r="F148" s="5">
        <f>60</f>
        <v>60</v>
      </c>
      <c r="G148" s="5">
        <f>75</f>
        <v>75</v>
      </c>
      <c r="H148" s="5">
        <f>200</f>
        <v>200</v>
      </c>
      <c r="I148" s="4"/>
      <c r="J148" s="5">
        <f>379</f>
        <v>379</v>
      </c>
      <c r="K148" s="4"/>
      <c r="L148" s="5">
        <f>175</f>
        <v>175</v>
      </c>
      <c r="M148" s="5">
        <f>398</f>
        <v>398</v>
      </c>
      <c r="N148" s="5">
        <f t="shared" si="21"/>
        <v>6784.4699999999993</v>
      </c>
    </row>
    <row r="149" spans="1:14" x14ac:dyDescent="0.3">
      <c r="A149" s="3" t="s">
        <v>117</v>
      </c>
      <c r="B149" s="4"/>
      <c r="C149" s="4"/>
      <c r="D149" s="4"/>
      <c r="E149" s="4"/>
      <c r="F149" s="4"/>
      <c r="G149" s="4"/>
      <c r="H149" s="4"/>
      <c r="I149" s="4"/>
      <c r="J149" s="5">
        <f>200</f>
        <v>200</v>
      </c>
      <c r="K149" s="4"/>
      <c r="L149" s="5">
        <f>1565</f>
        <v>1565</v>
      </c>
      <c r="M149" s="4"/>
      <c r="N149" s="5">
        <f t="shared" si="21"/>
        <v>1765</v>
      </c>
    </row>
    <row r="150" spans="1:14" x14ac:dyDescent="0.3">
      <c r="A150" s="3" t="s">
        <v>97</v>
      </c>
      <c r="B150" s="4"/>
      <c r="C150" s="4"/>
      <c r="D150" s="4"/>
      <c r="E150" s="5">
        <f>952</f>
        <v>952</v>
      </c>
      <c r="F150" s="5">
        <f>299</f>
        <v>299</v>
      </c>
      <c r="G150" s="4"/>
      <c r="H150" s="5">
        <f>29</f>
        <v>29</v>
      </c>
      <c r="I150" s="4"/>
      <c r="J150" s="4"/>
      <c r="K150" s="4"/>
      <c r="L150" s="4"/>
      <c r="M150" s="4"/>
      <c r="N150" s="5">
        <f t="shared" si="21"/>
        <v>1280</v>
      </c>
    </row>
    <row r="151" spans="1:14" x14ac:dyDescent="0.3">
      <c r="A151" s="3" t="s">
        <v>118</v>
      </c>
      <c r="B151" s="6">
        <f t="shared" ref="B151:M151" si="30">((B148)+(B149))+(B150)</f>
        <v>0</v>
      </c>
      <c r="C151" s="6">
        <f t="shared" si="30"/>
        <v>720</v>
      </c>
      <c r="D151" s="6">
        <f t="shared" si="30"/>
        <v>4343.07</v>
      </c>
      <c r="E151" s="6">
        <f t="shared" si="30"/>
        <v>1386.4</v>
      </c>
      <c r="F151" s="6">
        <f t="shared" si="30"/>
        <v>359</v>
      </c>
      <c r="G151" s="6">
        <f t="shared" si="30"/>
        <v>75</v>
      </c>
      <c r="H151" s="6">
        <f t="shared" si="30"/>
        <v>229</v>
      </c>
      <c r="I151" s="6">
        <f t="shared" si="30"/>
        <v>0</v>
      </c>
      <c r="J151" s="6">
        <f t="shared" si="30"/>
        <v>579</v>
      </c>
      <c r="K151" s="6">
        <f t="shared" si="30"/>
        <v>0</v>
      </c>
      <c r="L151" s="6">
        <f t="shared" si="30"/>
        <v>1740</v>
      </c>
      <c r="M151" s="6">
        <f t="shared" si="30"/>
        <v>398</v>
      </c>
      <c r="N151" s="6">
        <f t="shared" si="21"/>
        <v>9829.4699999999993</v>
      </c>
    </row>
    <row r="152" spans="1:14" x14ac:dyDescent="0.3">
      <c r="A152" s="3" t="s">
        <v>119</v>
      </c>
      <c r="B152" s="5">
        <f>20135.58</f>
        <v>20135.580000000002</v>
      </c>
      <c r="C152" s="5">
        <f>27604.51</f>
        <v>27604.51</v>
      </c>
      <c r="D152" s="5">
        <f>24448.3</f>
        <v>24448.3</v>
      </c>
      <c r="E152" s="5">
        <f>30064.26</f>
        <v>30064.26</v>
      </c>
      <c r="F152" s="5">
        <f>25180.04</f>
        <v>25180.04</v>
      </c>
      <c r="G152" s="5">
        <f>19768.01</f>
        <v>19768.009999999998</v>
      </c>
      <c r="H152" s="5">
        <f>25464.78</f>
        <v>25464.78</v>
      </c>
      <c r="I152" s="5">
        <f>22258.38</f>
        <v>22258.38</v>
      </c>
      <c r="J152" s="5">
        <f>23368.9</f>
        <v>23368.9</v>
      </c>
      <c r="K152" s="5">
        <f>22198.89</f>
        <v>22198.89</v>
      </c>
      <c r="L152" s="5">
        <f>23860.6</f>
        <v>23860.6</v>
      </c>
      <c r="M152" s="5">
        <f>24203.01</f>
        <v>24203.01</v>
      </c>
      <c r="N152" s="5">
        <f t="shared" si="21"/>
        <v>288555.26</v>
      </c>
    </row>
    <row r="153" spans="1:14" x14ac:dyDescent="0.3">
      <c r="A153" s="3" t="s">
        <v>96</v>
      </c>
      <c r="B153" s="5">
        <f>-1065.89</f>
        <v>-1065.8900000000001</v>
      </c>
      <c r="C153" s="5">
        <f>-1073.04</f>
        <v>-1073.04</v>
      </c>
      <c r="D153" s="5">
        <f>-1324.68</f>
        <v>-1324.68</v>
      </c>
      <c r="E153" s="5">
        <f>-954.34</f>
        <v>-954.34</v>
      </c>
      <c r="F153" s="5">
        <f>-995.54</f>
        <v>-995.54</v>
      </c>
      <c r="G153" s="5">
        <f>-1052.08</f>
        <v>-1052.08</v>
      </c>
      <c r="H153" s="5">
        <f>-1030.33</f>
        <v>-1030.33</v>
      </c>
      <c r="I153" s="5">
        <f>-1592.72</f>
        <v>-1592.72</v>
      </c>
      <c r="J153" s="5">
        <f>-1065.28</f>
        <v>-1065.28</v>
      </c>
      <c r="K153" s="5">
        <f>-1061.13</f>
        <v>-1061.1300000000001</v>
      </c>
      <c r="L153" s="5">
        <f>-1114.13</f>
        <v>-1114.1300000000001</v>
      </c>
      <c r="M153" s="5">
        <f>-1052.99</f>
        <v>-1052.99</v>
      </c>
      <c r="N153" s="5">
        <f t="shared" si="21"/>
        <v>-13382.150000000003</v>
      </c>
    </row>
    <row r="154" spans="1:14" x14ac:dyDescent="0.3">
      <c r="A154" s="3" t="s">
        <v>97</v>
      </c>
      <c r="B154" s="5">
        <f>-3219.7</f>
        <v>-3219.7</v>
      </c>
      <c r="C154" s="5">
        <f>-3248.4</f>
        <v>-3248.4</v>
      </c>
      <c r="D154" s="5">
        <f>-4135.4</f>
        <v>-4135.3999999999996</v>
      </c>
      <c r="E154" s="5">
        <f>-3041.8</f>
        <v>-3041.8</v>
      </c>
      <c r="F154" s="5">
        <f>-3206.5</f>
        <v>-3206.5</v>
      </c>
      <c r="G154" s="5">
        <f>-3432.8</f>
        <v>-3432.8</v>
      </c>
      <c r="H154" s="5">
        <f>-3345.7</f>
        <v>-3345.7</v>
      </c>
      <c r="I154" s="5">
        <f>-5207.5</f>
        <v>-5207.5</v>
      </c>
      <c r="J154" s="5">
        <f>-3485.5</f>
        <v>-3485.5</v>
      </c>
      <c r="K154" s="5">
        <f>-3468.9</f>
        <v>-3468.9</v>
      </c>
      <c r="L154" s="5">
        <f>-3681</f>
        <v>-3681</v>
      </c>
      <c r="M154" s="5">
        <f>-3436.3</f>
        <v>-3436.3</v>
      </c>
      <c r="N154" s="5">
        <f t="shared" si="21"/>
        <v>-42909.5</v>
      </c>
    </row>
    <row r="155" spans="1:14" x14ac:dyDescent="0.3">
      <c r="A155" s="3" t="s">
        <v>99</v>
      </c>
      <c r="B155" s="5">
        <f>-1187.35</f>
        <v>-1187.3499999999999</v>
      </c>
      <c r="C155" s="5">
        <f>-1194.5</f>
        <v>-1194.5</v>
      </c>
      <c r="D155" s="5">
        <f>-1510.68</f>
        <v>-1510.68</v>
      </c>
      <c r="E155" s="5">
        <f>-1078.36</f>
        <v>-1078.3599999999999</v>
      </c>
      <c r="F155" s="5">
        <f>-1119.54</f>
        <v>-1119.54</v>
      </c>
      <c r="G155" s="5">
        <f>-1176</f>
        <v>-1176</v>
      </c>
      <c r="H155" s="5">
        <f>-1154.33</f>
        <v>-1154.33</v>
      </c>
      <c r="I155" s="5">
        <f>-1778.72</f>
        <v>-1778.72</v>
      </c>
      <c r="J155" s="5">
        <f>-1242.64</f>
        <v>-1242.6400000000001</v>
      </c>
      <c r="K155" s="5">
        <f>-1185.13</f>
        <v>-1185.1300000000001</v>
      </c>
      <c r="L155" s="5">
        <f>-1238.13</f>
        <v>-1238.1300000000001</v>
      </c>
      <c r="M155" s="5">
        <f>-1176.99</f>
        <v>-1176.99</v>
      </c>
      <c r="N155" s="5">
        <f t="shared" si="21"/>
        <v>-15042.369999999997</v>
      </c>
    </row>
    <row r="156" spans="1:14" x14ac:dyDescent="0.3">
      <c r="A156" s="3" t="s">
        <v>100</v>
      </c>
      <c r="B156" s="5">
        <f>-3219.7</f>
        <v>-3219.7</v>
      </c>
      <c r="C156" s="5">
        <f>-3248.4</f>
        <v>-3248.4</v>
      </c>
      <c r="D156" s="5">
        <f>-4135.4</f>
        <v>-4135.3999999999996</v>
      </c>
      <c r="E156" s="5">
        <f>-3041.8</f>
        <v>-3041.8</v>
      </c>
      <c r="F156" s="5">
        <f>-3206.5</f>
        <v>-3206.5</v>
      </c>
      <c r="G156" s="5">
        <f>-3432.8</f>
        <v>-3432.8</v>
      </c>
      <c r="H156" s="5">
        <f>-3345.7</f>
        <v>-3345.7</v>
      </c>
      <c r="I156" s="5">
        <f>-5207.5</f>
        <v>-5207.5</v>
      </c>
      <c r="J156" s="5">
        <f>-3485.5</f>
        <v>-3485.5</v>
      </c>
      <c r="K156" s="5">
        <f>-3468.9</f>
        <v>-3468.9</v>
      </c>
      <c r="L156" s="5">
        <f>-3681</f>
        <v>-3681</v>
      </c>
      <c r="M156" s="5">
        <f>-3436.3</f>
        <v>-3436.3</v>
      </c>
      <c r="N156" s="5">
        <f t="shared" si="21"/>
        <v>-42909.5</v>
      </c>
    </row>
    <row r="157" spans="1:14" x14ac:dyDescent="0.3">
      <c r="A157" s="3" t="s">
        <v>120</v>
      </c>
      <c r="B157" s="6">
        <f t="shared" ref="B157:M157" si="31">((((B152)+(B153))+(B154))+(B155))+(B156)</f>
        <v>11442.940000000002</v>
      </c>
      <c r="C157" s="6">
        <f t="shared" si="31"/>
        <v>18840.169999999995</v>
      </c>
      <c r="D157" s="6">
        <f t="shared" si="31"/>
        <v>13342.140000000001</v>
      </c>
      <c r="E157" s="6">
        <f t="shared" si="31"/>
        <v>21947.96</v>
      </c>
      <c r="F157" s="6">
        <f t="shared" si="31"/>
        <v>16651.96</v>
      </c>
      <c r="G157" s="6">
        <f t="shared" si="31"/>
        <v>10674.330000000002</v>
      </c>
      <c r="H157" s="6">
        <f t="shared" si="31"/>
        <v>16588.719999999998</v>
      </c>
      <c r="I157" s="6">
        <f t="shared" si="31"/>
        <v>8471.94</v>
      </c>
      <c r="J157" s="6">
        <f t="shared" si="31"/>
        <v>14089.980000000003</v>
      </c>
      <c r="K157" s="6">
        <f t="shared" si="31"/>
        <v>13014.829999999996</v>
      </c>
      <c r="L157" s="6">
        <f t="shared" si="31"/>
        <v>14146.339999999997</v>
      </c>
      <c r="M157" s="6">
        <f t="shared" si="31"/>
        <v>15100.429999999997</v>
      </c>
      <c r="N157" s="6">
        <f t="shared" si="21"/>
        <v>174311.73999999996</v>
      </c>
    </row>
    <row r="158" spans="1:14" x14ac:dyDescent="0.3">
      <c r="A158" s="3" t="s">
        <v>121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>
        <f t="shared" si="21"/>
        <v>0</v>
      </c>
    </row>
    <row r="159" spans="1:14" x14ac:dyDescent="0.3">
      <c r="A159" s="3" t="s">
        <v>97</v>
      </c>
      <c r="B159" s="5">
        <f>2500</f>
        <v>2500</v>
      </c>
      <c r="C159" s="5">
        <f>2500</f>
        <v>2500</v>
      </c>
      <c r="D159" s="5">
        <f>2500</f>
        <v>2500</v>
      </c>
      <c r="E159" s="5">
        <f>2500</f>
        <v>2500</v>
      </c>
      <c r="F159" s="5">
        <f>2500</f>
        <v>2500</v>
      </c>
      <c r="G159" s="5">
        <f>2500</f>
        <v>2500</v>
      </c>
      <c r="H159" s="5">
        <f>2500</f>
        <v>2500</v>
      </c>
      <c r="I159" s="5">
        <f>4662.31</f>
        <v>4662.3100000000004</v>
      </c>
      <c r="J159" s="5">
        <f>2500</f>
        <v>2500</v>
      </c>
      <c r="K159" s="5">
        <f>2500</f>
        <v>2500</v>
      </c>
      <c r="L159" s="5">
        <f>2500</f>
        <v>2500</v>
      </c>
      <c r="M159" s="5">
        <f>2500</f>
        <v>2500</v>
      </c>
      <c r="N159" s="5">
        <f t="shared" si="21"/>
        <v>32162.31</v>
      </c>
    </row>
    <row r="160" spans="1:14" x14ac:dyDescent="0.3">
      <c r="A160" s="3" t="s">
        <v>99</v>
      </c>
      <c r="B160" s="5">
        <f>1750</f>
        <v>1750</v>
      </c>
      <c r="C160" s="5">
        <f>1750</f>
        <v>1750</v>
      </c>
      <c r="D160" s="5">
        <f>1750</f>
        <v>1750</v>
      </c>
      <c r="E160" s="5">
        <f>1750</f>
        <v>1750</v>
      </c>
      <c r="F160" s="5">
        <f>1750</f>
        <v>1750</v>
      </c>
      <c r="G160" s="5">
        <f>1750</f>
        <v>1750</v>
      </c>
      <c r="H160" s="5">
        <f>1750</f>
        <v>1750</v>
      </c>
      <c r="I160" s="5">
        <f>3371.73</f>
        <v>3371.73</v>
      </c>
      <c r="J160" s="5">
        <f>1750</f>
        <v>1750</v>
      </c>
      <c r="K160" s="5">
        <f>1750</f>
        <v>1750</v>
      </c>
      <c r="L160" s="5">
        <f>1750</f>
        <v>1750</v>
      </c>
      <c r="M160" s="5">
        <f>1750</f>
        <v>1750</v>
      </c>
      <c r="N160" s="5">
        <f t="shared" si="21"/>
        <v>22621.73</v>
      </c>
    </row>
    <row r="161" spans="1:14" x14ac:dyDescent="0.3">
      <c r="A161" s="3" t="s">
        <v>100</v>
      </c>
      <c r="B161" s="5">
        <f>1750</f>
        <v>1750</v>
      </c>
      <c r="C161" s="5">
        <f>1750</f>
        <v>1750</v>
      </c>
      <c r="D161" s="5">
        <f>1750</f>
        <v>1750</v>
      </c>
      <c r="E161" s="5">
        <f>1750</f>
        <v>1750</v>
      </c>
      <c r="F161" s="5">
        <f>1750</f>
        <v>1750</v>
      </c>
      <c r="G161" s="5">
        <f>1750</f>
        <v>1750</v>
      </c>
      <c r="H161" s="5">
        <f>1750</f>
        <v>1750</v>
      </c>
      <c r="I161" s="5">
        <f>3371.73</f>
        <v>3371.73</v>
      </c>
      <c r="J161" s="5">
        <f>1750</f>
        <v>1750</v>
      </c>
      <c r="K161" s="5">
        <f>1750</f>
        <v>1750</v>
      </c>
      <c r="L161" s="5">
        <f>1750</f>
        <v>1750</v>
      </c>
      <c r="M161" s="5">
        <f>1750</f>
        <v>1750</v>
      </c>
      <c r="N161" s="5">
        <f t="shared" si="21"/>
        <v>22621.73</v>
      </c>
    </row>
    <row r="162" spans="1:14" x14ac:dyDescent="0.3">
      <c r="A162" s="3" t="s">
        <v>122</v>
      </c>
      <c r="B162" s="6">
        <f t="shared" ref="B162:M162" si="32">(((B158)+(B159))+(B160))+(B161)</f>
        <v>6000</v>
      </c>
      <c r="C162" s="6">
        <f t="shared" si="32"/>
        <v>6000</v>
      </c>
      <c r="D162" s="6">
        <f t="shared" si="32"/>
        <v>6000</v>
      </c>
      <c r="E162" s="6">
        <f t="shared" si="32"/>
        <v>6000</v>
      </c>
      <c r="F162" s="6">
        <f t="shared" si="32"/>
        <v>6000</v>
      </c>
      <c r="G162" s="6">
        <f t="shared" si="32"/>
        <v>6000</v>
      </c>
      <c r="H162" s="6">
        <f t="shared" si="32"/>
        <v>6000</v>
      </c>
      <c r="I162" s="6">
        <f t="shared" si="32"/>
        <v>11405.77</v>
      </c>
      <c r="J162" s="6">
        <f t="shared" si="32"/>
        <v>6000</v>
      </c>
      <c r="K162" s="6">
        <f t="shared" si="32"/>
        <v>6000</v>
      </c>
      <c r="L162" s="6">
        <f t="shared" si="32"/>
        <v>6000</v>
      </c>
      <c r="M162" s="6">
        <f t="shared" si="32"/>
        <v>6000</v>
      </c>
      <c r="N162" s="6">
        <f t="shared" si="21"/>
        <v>77405.77</v>
      </c>
    </row>
    <row r="163" spans="1:14" x14ac:dyDescent="0.3">
      <c r="A163" s="3" t="s">
        <v>123</v>
      </c>
      <c r="B163" s="5">
        <f>2749.42</f>
        <v>2749.42</v>
      </c>
      <c r="C163" s="5">
        <f>60</f>
        <v>60</v>
      </c>
      <c r="D163" s="4"/>
      <c r="E163" s="5">
        <f>552.31</f>
        <v>552.30999999999995</v>
      </c>
      <c r="F163" s="5">
        <f>67.39</f>
        <v>67.39</v>
      </c>
      <c r="G163" s="5">
        <f>87.33</f>
        <v>87.33</v>
      </c>
      <c r="H163" s="4"/>
      <c r="I163" s="4"/>
      <c r="J163" s="4"/>
      <c r="K163" s="5">
        <f>9</f>
        <v>9</v>
      </c>
      <c r="L163" s="4"/>
      <c r="M163" s="5">
        <f>6.32</f>
        <v>6.32</v>
      </c>
      <c r="N163" s="5">
        <f t="shared" si="21"/>
        <v>3531.77</v>
      </c>
    </row>
    <row r="164" spans="1:14" x14ac:dyDescent="0.3">
      <c r="A164" s="3" t="s">
        <v>124</v>
      </c>
      <c r="B164" s="4"/>
      <c r="C164" s="5">
        <f>157.9</f>
        <v>157.9</v>
      </c>
      <c r="D164" s="5">
        <f>40.34</f>
        <v>40.340000000000003</v>
      </c>
      <c r="E164" s="5">
        <f>99.55</f>
        <v>99.55</v>
      </c>
      <c r="F164" s="5">
        <f>841.79</f>
        <v>841.79</v>
      </c>
      <c r="G164" s="5">
        <f>56.98</f>
        <v>56.98</v>
      </c>
      <c r="H164" s="5">
        <f>196.22</f>
        <v>196.22</v>
      </c>
      <c r="I164" s="5">
        <f>65.6</f>
        <v>65.599999999999994</v>
      </c>
      <c r="J164" s="5">
        <f>610.43</f>
        <v>610.42999999999995</v>
      </c>
      <c r="K164" s="5">
        <f>762.43</f>
        <v>762.43</v>
      </c>
      <c r="L164" s="5">
        <f>1386.69</f>
        <v>1386.69</v>
      </c>
      <c r="M164" s="5">
        <f>443.97</f>
        <v>443.97</v>
      </c>
      <c r="N164" s="5">
        <f t="shared" si="21"/>
        <v>4661.9000000000005</v>
      </c>
    </row>
    <row r="165" spans="1:14" x14ac:dyDescent="0.3">
      <c r="A165" s="3" t="s">
        <v>96</v>
      </c>
      <c r="B165" s="4"/>
      <c r="C165" s="5">
        <f>3143.78</f>
        <v>3143.78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>
        <f t="shared" si="21"/>
        <v>3143.78</v>
      </c>
    </row>
    <row r="166" spans="1:14" x14ac:dyDescent="0.3">
      <c r="A166" s="3" t="s">
        <v>125</v>
      </c>
      <c r="B166" s="4"/>
      <c r="C166" s="4"/>
      <c r="D166" s="4"/>
      <c r="E166" s="4"/>
      <c r="F166" s="4"/>
      <c r="G166" s="4"/>
      <c r="H166" s="4"/>
      <c r="I166" s="5">
        <f>45.85</f>
        <v>45.85</v>
      </c>
      <c r="J166" s="5">
        <f>278.55</f>
        <v>278.55</v>
      </c>
      <c r="K166" s="5">
        <f>105.72</f>
        <v>105.72</v>
      </c>
      <c r="L166" s="5">
        <f>617.61</f>
        <v>617.61</v>
      </c>
      <c r="M166" s="4"/>
      <c r="N166" s="5">
        <f t="shared" si="21"/>
        <v>1047.73</v>
      </c>
    </row>
    <row r="167" spans="1:14" x14ac:dyDescent="0.3">
      <c r="A167" s="3" t="s">
        <v>100</v>
      </c>
      <c r="B167" s="4"/>
      <c r="C167" s="5">
        <f>106.4</f>
        <v>106.4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>
        <f t="shared" si="21"/>
        <v>106.4</v>
      </c>
    </row>
    <row r="168" spans="1:14" x14ac:dyDescent="0.3">
      <c r="A168" s="3" t="s">
        <v>126</v>
      </c>
      <c r="B168" s="6">
        <f t="shared" ref="B168:M168" si="33">((((B163)+(B164))+(B165))+(B166))+(B167)</f>
        <v>2749.42</v>
      </c>
      <c r="C168" s="6">
        <f t="shared" si="33"/>
        <v>3468.0800000000004</v>
      </c>
      <c r="D168" s="6">
        <f t="shared" si="33"/>
        <v>40.340000000000003</v>
      </c>
      <c r="E168" s="6">
        <f t="shared" si="33"/>
        <v>651.8599999999999</v>
      </c>
      <c r="F168" s="6">
        <f t="shared" si="33"/>
        <v>909.18</v>
      </c>
      <c r="G168" s="6">
        <f t="shared" si="33"/>
        <v>144.31</v>
      </c>
      <c r="H168" s="6">
        <f t="shared" si="33"/>
        <v>196.22</v>
      </c>
      <c r="I168" s="6">
        <f t="shared" si="33"/>
        <v>111.44999999999999</v>
      </c>
      <c r="J168" s="6">
        <f t="shared" si="33"/>
        <v>888.98</v>
      </c>
      <c r="K168" s="6">
        <f t="shared" si="33"/>
        <v>877.15</v>
      </c>
      <c r="L168" s="6">
        <f t="shared" si="33"/>
        <v>2004.3000000000002</v>
      </c>
      <c r="M168" s="6">
        <f t="shared" si="33"/>
        <v>450.29</v>
      </c>
      <c r="N168" s="6">
        <f t="shared" ref="N168:N231" si="34">(((((((((((B168)+(C168))+(D168))+(E168))+(F168))+(G168))+(H168))+(I168))+(J168))+(K168))+(L168))+(M168)</f>
        <v>12491.580000000002</v>
      </c>
    </row>
    <row r="169" spans="1:14" x14ac:dyDescent="0.3">
      <c r="A169" s="3" t="s">
        <v>127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>
        <f t="shared" si="34"/>
        <v>0</v>
      </c>
    </row>
    <row r="170" spans="1:14" x14ac:dyDescent="0.3">
      <c r="A170" s="3" t="s">
        <v>96</v>
      </c>
      <c r="B170" s="5">
        <f>1595.55</f>
        <v>1595.55</v>
      </c>
      <c r="C170" s="5">
        <f>1339.55</f>
        <v>1339.55</v>
      </c>
      <c r="D170" s="5">
        <f>1889.18</f>
        <v>1889.18</v>
      </c>
      <c r="E170" s="5">
        <f>1235.96</f>
        <v>1235.96</v>
      </c>
      <c r="F170" s="5">
        <f>1263.63</f>
        <v>1263.6300000000001</v>
      </c>
      <c r="G170" s="5">
        <f>1264.74</f>
        <v>1264.74</v>
      </c>
      <c r="H170" s="5">
        <f>1278.88</f>
        <v>1278.8800000000001</v>
      </c>
      <c r="I170" s="5">
        <f>1973.37</f>
        <v>1973.37</v>
      </c>
      <c r="J170" s="5">
        <f>1386.71</f>
        <v>1386.71</v>
      </c>
      <c r="K170" s="5">
        <f>1407.86</f>
        <v>1407.86</v>
      </c>
      <c r="L170" s="5">
        <f>1224.24</f>
        <v>1224.24</v>
      </c>
      <c r="M170" s="5">
        <f>1258.84</f>
        <v>1258.8399999999999</v>
      </c>
      <c r="N170" s="5">
        <f t="shared" si="34"/>
        <v>17118.509999999998</v>
      </c>
    </row>
    <row r="171" spans="1:14" x14ac:dyDescent="0.3">
      <c r="A171" s="3" t="s">
        <v>97</v>
      </c>
      <c r="B171" s="5">
        <f>6166.94</f>
        <v>6166.94</v>
      </c>
      <c r="C171" s="5">
        <f>5499.89</f>
        <v>5499.89</v>
      </c>
      <c r="D171" s="5">
        <f>7378.99</f>
        <v>7378.99</v>
      </c>
      <c r="E171" s="5">
        <f>4943.82</f>
        <v>4943.82</v>
      </c>
      <c r="F171" s="5">
        <f>5054.51</f>
        <v>5054.51</v>
      </c>
      <c r="G171" s="5">
        <f>5058.93</f>
        <v>5058.93</v>
      </c>
      <c r="H171" s="5">
        <f>5115.52</f>
        <v>5115.5200000000004</v>
      </c>
      <c r="I171" s="5">
        <f>6128.45</f>
        <v>6128.45</v>
      </c>
      <c r="J171" s="5">
        <f>5546.83</f>
        <v>5546.83</v>
      </c>
      <c r="K171" s="5">
        <f>5631.44</f>
        <v>5631.44</v>
      </c>
      <c r="L171" s="5">
        <f>4982.12</f>
        <v>4982.12</v>
      </c>
      <c r="M171" s="5">
        <f>5035.35</f>
        <v>5035.3500000000004</v>
      </c>
      <c r="N171" s="5">
        <f t="shared" si="34"/>
        <v>66542.790000000008</v>
      </c>
    </row>
    <row r="172" spans="1:14" x14ac:dyDescent="0.3">
      <c r="A172" s="3" t="s">
        <v>99</v>
      </c>
      <c r="B172" s="5">
        <f>1595.55</f>
        <v>1595.55</v>
      </c>
      <c r="C172" s="5">
        <f>1339.55</f>
        <v>1339.55</v>
      </c>
      <c r="D172" s="5">
        <f>1889.18</f>
        <v>1889.18</v>
      </c>
      <c r="E172" s="5">
        <f>1235.96</f>
        <v>1235.96</v>
      </c>
      <c r="F172" s="5">
        <f>1263.63</f>
        <v>1263.6300000000001</v>
      </c>
      <c r="G172" s="5">
        <f>1264.74</f>
        <v>1264.74</v>
      </c>
      <c r="H172" s="5">
        <f>1278.88</f>
        <v>1278.8800000000001</v>
      </c>
      <c r="I172" s="5">
        <f>1973.37</f>
        <v>1973.37</v>
      </c>
      <c r="J172" s="5">
        <f>1386.71</f>
        <v>1386.71</v>
      </c>
      <c r="K172" s="5">
        <f>1407.86</f>
        <v>1407.86</v>
      </c>
      <c r="L172" s="5">
        <f>1224.24</f>
        <v>1224.24</v>
      </c>
      <c r="M172" s="5">
        <f>1258.84</f>
        <v>1258.8399999999999</v>
      </c>
      <c r="N172" s="5">
        <f t="shared" si="34"/>
        <v>17118.509999999998</v>
      </c>
    </row>
    <row r="173" spans="1:14" x14ac:dyDescent="0.3">
      <c r="A173" s="3" t="s">
        <v>100</v>
      </c>
      <c r="B173" s="5">
        <f>6382.18</f>
        <v>6382.18</v>
      </c>
      <c r="C173" s="5">
        <f>5358.17</f>
        <v>5358.17</v>
      </c>
      <c r="D173" s="5">
        <f>7556.75</f>
        <v>7556.75</v>
      </c>
      <c r="E173" s="5">
        <f>4943.83</f>
        <v>4943.83</v>
      </c>
      <c r="F173" s="5">
        <f>5054.52</f>
        <v>5054.5200000000004</v>
      </c>
      <c r="G173" s="5">
        <f>5058.93</f>
        <v>5058.93</v>
      </c>
      <c r="H173" s="5">
        <f>5115.52</f>
        <v>5115.5200000000004</v>
      </c>
      <c r="I173" s="5">
        <f>7893.44</f>
        <v>7893.44</v>
      </c>
      <c r="J173" s="5">
        <f>5546.83</f>
        <v>5546.83</v>
      </c>
      <c r="K173" s="5">
        <f>5631.44</f>
        <v>5631.44</v>
      </c>
      <c r="L173" s="5">
        <f>4896.95</f>
        <v>4896.95</v>
      </c>
      <c r="M173" s="5">
        <f>5035.35</f>
        <v>5035.3500000000004</v>
      </c>
      <c r="N173" s="5">
        <f t="shared" si="34"/>
        <v>68473.910000000018</v>
      </c>
    </row>
    <row r="174" spans="1:14" x14ac:dyDescent="0.3">
      <c r="A174" s="3" t="s">
        <v>128</v>
      </c>
      <c r="B174" s="6">
        <f t="shared" ref="B174:M174" si="35">((((B169)+(B170))+(B171))+(B172))+(B173)</f>
        <v>15740.22</v>
      </c>
      <c r="C174" s="6">
        <f t="shared" si="35"/>
        <v>13537.16</v>
      </c>
      <c r="D174" s="6">
        <f t="shared" si="35"/>
        <v>18714.099999999999</v>
      </c>
      <c r="E174" s="6">
        <f t="shared" si="35"/>
        <v>12359.57</v>
      </c>
      <c r="F174" s="6">
        <f t="shared" si="35"/>
        <v>12636.29</v>
      </c>
      <c r="G174" s="6">
        <f t="shared" si="35"/>
        <v>12647.34</v>
      </c>
      <c r="H174" s="6">
        <f t="shared" si="35"/>
        <v>12788.800000000001</v>
      </c>
      <c r="I174" s="6">
        <f t="shared" si="35"/>
        <v>17968.629999999997</v>
      </c>
      <c r="J174" s="6">
        <f t="shared" si="35"/>
        <v>13867.08</v>
      </c>
      <c r="K174" s="6">
        <f t="shared" si="35"/>
        <v>14078.599999999999</v>
      </c>
      <c r="L174" s="6">
        <f t="shared" si="35"/>
        <v>12327.55</v>
      </c>
      <c r="M174" s="6">
        <f t="shared" si="35"/>
        <v>12588.380000000001</v>
      </c>
      <c r="N174" s="6">
        <f t="shared" si="34"/>
        <v>169253.71999999997</v>
      </c>
    </row>
    <row r="175" spans="1:14" x14ac:dyDescent="0.3">
      <c r="A175" s="3" t="s">
        <v>129</v>
      </c>
      <c r="B175" s="5">
        <f>801.92</f>
        <v>801.92</v>
      </c>
      <c r="C175" s="5">
        <f>2083.94</f>
        <v>2083.94</v>
      </c>
      <c r="D175" s="5">
        <f>1006</f>
        <v>1006</v>
      </c>
      <c r="E175" s="5">
        <f>5441.11</f>
        <v>5441.11</v>
      </c>
      <c r="F175" s="5">
        <f>12.31</f>
        <v>12.31</v>
      </c>
      <c r="G175" s="5">
        <f>190.38</f>
        <v>190.38</v>
      </c>
      <c r="H175" s="4"/>
      <c r="I175" s="5">
        <f>200</f>
        <v>200</v>
      </c>
      <c r="J175" s="5">
        <f>332.05</f>
        <v>332.05</v>
      </c>
      <c r="K175" s="5">
        <f>43</f>
        <v>43</v>
      </c>
      <c r="L175" s="4"/>
      <c r="M175" s="4"/>
      <c r="N175" s="5">
        <f t="shared" si="34"/>
        <v>10110.709999999997</v>
      </c>
    </row>
    <row r="176" spans="1:14" x14ac:dyDescent="0.3">
      <c r="A176" s="3" t="s">
        <v>97</v>
      </c>
      <c r="B176" s="4"/>
      <c r="C176" s="4"/>
      <c r="D176" s="4"/>
      <c r="E176" s="5">
        <f>58</f>
        <v>58</v>
      </c>
      <c r="F176" s="4"/>
      <c r="G176" s="4"/>
      <c r="H176" s="4"/>
      <c r="I176" s="4"/>
      <c r="J176" s="5">
        <f>9.95</f>
        <v>9.9499999999999993</v>
      </c>
      <c r="K176" s="4"/>
      <c r="L176" s="4"/>
      <c r="M176" s="4"/>
      <c r="N176" s="5">
        <f t="shared" si="34"/>
        <v>67.95</v>
      </c>
    </row>
    <row r="177" spans="1:14" x14ac:dyDescent="0.3">
      <c r="A177" s="3" t="s">
        <v>99</v>
      </c>
      <c r="B177" s="4"/>
      <c r="C177" s="4"/>
      <c r="D177" s="4"/>
      <c r="E177" s="4"/>
      <c r="F177" s="4"/>
      <c r="G177" s="5">
        <f>27.14</f>
        <v>27.14</v>
      </c>
      <c r="H177" s="4"/>
      <c r="I177" s="4"/>
      <c r="J177" s="4"/>
      <c r="K177" s="4"/>
      <c r="L177" s="4"/>
      <c r="M177" s="4"/>
      <c r="N177" s="5">
        <f t="shared" si="34"/>
        <v>27.14</v>
      </c>
    </row>
    <row r="178" spans="1:14" x14ac:dyDescent="0.3">
      <c r="A178" s="3" t="s">
        <v>130</v>
      </c>
      <c r="B178" s="6">
        <f t="shared" ref="B178:M178" si="36">((B175)+(B176))+(B177)</f>
        <v>801.92</v>
      </c>
      <c r="C178" s="6">
        <f t="shared" si="36"/>
        <v>2083.94</v>
      </c>
      <c r="D178" s="6">
        <f t="shared" si="36"/>
        <v>1006</v>
      </c>
      <c r="E178" s="6">
        <f t="shared" si="36"/>
        <v>5499.11</v>
      </c>
      <c r="F178" s="6">
        <f t="shared" si="36"/>
        <v>12.31</v>
      </c>
      <c r="G178" s="6">
        <f t="shared" si="36"/>
        <v>217.51999999999998</v>
      </c>
      <c r="H178" s="6">
        <f t="shared" si="36"/>
        <v>0</v>
      </c>
      <c r="I178" s="6">
        <f t="shared" si="36"/>
        <v>200</v>
      </c>
      <c r="J178" s="6">
        <f t="shared" si="36"/>
        <v>342</v>
      </c>
      <c r="K178" s="6">
        <f t="shared" si="36"/>
        <v>43</v>
      </c>
      <c r="L178" s="6">
        <f t="shared" si="36"/>
        <v>0</v>
      </c>
      <c r="M178" s="6">
        <f t="shared" si="36"/>
        <v>0</v>
      </c>
      <c r="N178" s="6">
        <f t="shared" si="34"/>
        <v>10205.799999999999</v>
      </c>
    </row>
    <row r="179" spans="1:14" x14ac:dyDescent="0.3">
      <c r="A179" s="3" t="s">
        <v>131</v>
      </c>
      <c r="B179" s="5">
        <f>5808.45</f>
        <v>5808.45</v>
      </c>
      <c r="C179" s="5">
        <f>1134.81</f>
        <v>1134.81</v>
      </c>
      <c r="D179" s="5">
        <f>1950.2</f>
        <v>1950.2</v>
      </c>
      <c r="E179" s="5">
        <f>70.74</f>
        <v>70.739999999999995</v>
      </c>
      <c r="F179" s="5">
        <f>437.25</f>
        <v>437.25</v>
      </c>
      <c r="G179" s="5">
        <f>57.62</f>
        <v>57.62</v>
      </c>
      <c r="H179" s="5">
        <f>7642.3</f>
        <v>7642.3</v>
      </c>
      <c r="I179" s="5">
        <f>100</f>
        <v>100</v>
      </c>
      <c r="J179" s="5">
        <f>3642.17</f>
        <v>3642.17</v>
      </c>
      <c r="K179" s="5">
        <f>98.18</f>
        <v>98.18</v>
      </c>
      <c r="L179" s="5">
        <f>499.81</f>
        <v>499.81</v>
      </c>
      <c r="M179" s="5">
        <f>100</f>
        <v>100</v>
      </c>
      <c r="N179" s="5">
        <f t="shared" si="34"/>
        <v>21541.530000000002</v>
      </c>
    </row>
    <row r="180" spans="1:14" x14ac:dyDescent="0.3">
      <c r="A180" s="3" t="s">
        <v>97</v>
      </c>
      <c r="B180" s="5">
        <f>-64.18</f>
        <v>-64.180000000000007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>
        <f t="shared" si="34"/>
        <v>-64.180000000000007</v>
      </c>
    </row>
    <row r="181" spans="1:14" x14ac:dyDescent="0.3">
      <c r="A181" s="3" t="s">
        <v>132</v>
      </c>
      <c r="B181" s="6">
        <f t="shared" ref="B181:M181" si="37">(B179)+(B180)</f>
        <v>5744.2699999999995</v>
      </c>
      <c r="C181" s="6">
        <f t="shared" si="37"/>
        <v>1134.81</v>
      </c>
      <c r="D181" s="6">
        <f t="shared" si="37"/>
        <v>1950.2</v>
      </c>
      <c r="E181" s="6">
        <f t="shared" si="37"/>
        <v>70.739999999999995</v>
      </c>
      <c r="F181" s="6">
        <f t="shared" si="37"/>
        <v>437.25</v>
      </c>
      <c r="G181" s="6">
        <f t="shared" si="37"/>
        <v>57.62</v>
      </c>
      <c r="H181" s="6">
        <f t="shared" si="37"/>
        <v>7642.3</v>
      </c>
      <c r="I181" s="6">
        <f t="shared" si="37"/>
        <v>100</v>
      </c>
      <c r="J181" s="6">
        <f t="shared" si="37"/>
        <v>3642.17</v>
      </c>
      <c r="K181" s="6">
        <f t="shared" si="37"/>
        <v>98.18</v>
      </c>
      <c r="L181" s="6">
        <f t="shared" si="37"/>
        <v>499.81</v>
      </c>
      <c r="M181" s="6">
        <f t="shared" si="37"/>
        <v>100</v>
      </c>
      <c r="N181" s="6">
        <f t="shared" si="34"/>
        <v>21477.350000000002</v>
      </c>
    </row>
    <row r="182" spans="1:14" x14ac:dyDescent="0.3">
      <c r="A182" s="3" t="s">
        <v>133</v>
      </c>
      <c r="B182" s="6">
        <f t="shared" ref="B182:M182" si="38">(((((((((B137)+(B143))+(B147))+(B151))+(B157))+(B162))+(B168))+(B174))+(B178))+(B181)</f>
        <v>43579.77</v>
      </c>
      <c r="C182" s="6">
        <f t="shared" si="38"/>
        <v>46794.259999999995</v>
      </c>
      <c r="D182" s="6">
        <f t="shared" si="38"/>
        <v>46484.209999999992</v>
      </c>
      <c r="E182" s="6">
        <f t="shared" si="38"/>
        <v>48576.54</v>
      </c>
      <c r="F182" s="6">
        <f t="shared" si="38"/>
        <v>37563.649999999994</v>
      </c>
      <c r="G182" s="6">
        <f t="shared" si="38"/>
        <v>30246.380000000005</v>
      </c>
      <c r="H182" s="6">
        <f t="shared" si="38"/>
        <v>44256.04</v>
      </c>
      <c r="I182" s="6">
        <f t="shared" si="38"/>
        <v>40045.990000000005</v>
      </c>
      <c r="J182" s="6">
        <f t="shared" si="38"/>
        <v>40158.21</v>
      </c>
      <c r="K182" s="6">
        <f t="shared" si="38"/>
        <v>34737.259999999995</v>
      </c>
      <c r="L182" s="6">
        <f t="shared" si="38"/>
        <v>38032.499999999993</v>
      </c>
      <c r="M182" s="6">
        <f t="shared" si="38"/>
        <v>35993</v>
      </c>
      <c r="N182" s="6">
        <f t="shared" si="34"/>
        <v>486467.81</v>
      </c>
    </row>
    <row r="183" spans="1:14" x14ac:dyDescent="0.3">
      <c r="A183" s="3" t="s">
        <v>134</v>
      </c>
      <c r="B183" s="6">
        <f t="shared" ref="B183:M183" si="39">((B99)+(B136))+(B182)</f>
        <v>236724.49</v>
      </c>
      <c r="C183" s="6">
        <f t="shared" si="39"/>
        <v>197692.97999999998</v>
      </c>
      <c r="D183" s="6">
        <f t="shared" si="39"/>
        <v>213791.17</v>
      </c>
      <c r="E183" s="6">
        <f t="shared" si="39"/>
        <v>218531.53000000003</v>
      </c>
      <c r="F183" s="6">
        <f t="shared" si="39"/>
        <v>230233.11</v>
      </c>
      <c r="G183" s="6">
        <f t="shared" si="39"/>
        <v>210759.45</v>
      </c>
      <c r="H183" s="6">
        <f t="shared" si="39"/>
        <v>237744.71000000002</v>
      </c>
      <c r="I183" s="6">
        <f t="shared" si="39"/>
        <v>229757.14</v>
      </c>
      <c r="J183" s="6">
        <f t="shared" si="39"/>
        <v>220958.46999999997</v>
      </c>
      <c r="K183" s="6">
        <f t="shared" si="39"/>
        <v>251600.49</v>
      </c>
      <c r="L183" s="6">
        <f t="shared" si="39"/>
        <v>237477.12</v>
      </c>
      <c r="M183" s="6">
        <f t="shared" si="39"/>
        <v>215799.6</v>
      </c>
      <c r="N183" s="6">
        <f t="shared" si="34"/>
        <v>2701070.2600000002</v>
      </c>
    </row>
    <row r="184" spans="1:14" x14ac:dyDescent="0.3">
      <c r="A184" s="3" t="s">
        <v>135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>
        <f t="shared" si="34"/>
        <v>0</v>
      </c>
    </row>
    <row r="185" spans="1:14" x14ac:dyDescent="0.3">
      <c r="A185" s="3" t="s">
        <v>136</v>
      </c>
      <c r="B185" s="5">
        <f>2288.05</f>
        <v>2288.0500000000002</v>
      </c>
      <c r="C185" s="5">
        <f>1380.1</f>
        <v>1380.1</v>
      </c>
      <c r="D185" s="5">
        <f>1264.69</f>
        <v>1264.69</v>
      </c>
      <c r="E185" s="5">
        <f>232.68</f>
        <v>232.68</v>
      </c>
      <c r="F185" s="5">
        <f>3381.1</f>
        <v>3381.1</v>
      </c>
      <c r="G185" s="5">
        <f>957.19</f>
        <v>957.19</v>
      </c>
      <c r="H185" s="5">
        <f>2295.25</f>
        <v>2295.25</v>
      </c>
      <c r="I185" s="5">
        <f>423.89</f>
        <v>423.89</v>
      </c>
      <c r="J185" s="5">
        <f>3367.58</f>
        <v>3367.58</v>
      </c>
      <c r="K185" s="5">
        <f>1117.23</f>
        <v>1117.23</v>
      </c>
      <c r="L185" s="5">
        <f>3952.96</f>
        <v>3952.96</v>
      </c>
      <c r="M185" s="5">
        <f>1843.39</f>
        <v>1843.39</v>
      </c>
      <c r="N185" s="5">
        <f t="shared" si="34"/>
        <v>22504.11</v>
      </c>
    </row>
    <row r="186" spans="1:14" x14ac:dyDescent="0.3">
      <c r="A186" s="3" t="s">
        <v>137</v>
      </c>
      <c r="B186" s="4"/>
      <c r="C186" s="4"/>
      <c r="D186" s="4"/>
      <c r="E186" s="5">
        <f>47.2</f>
        <v>47.2</v>
      </c>
      <c r="F186" s="4"/>
      <c r="G186" s="5">
        <f>118</f>
        <v>118</v>
      </c>
      <c r="H186" s="5">
        <f>28.3</f>
        <v>28.3</v>
      </c>
      <c r="I186" s="4"/>
      <c r="J186" s="4"/>
      <c r="K186" s="4"/>
      <c r="L186" s="4"/>
      <c r="M186" s="4"/>
      <c r="N186" s="5">
        <f t="shared" si="34"/>
        <v>193.5</v>
      </c>
    </row>
    <row r="187" spans="1:14" x14ac:dyDescent="0.3">
      <c r="A187" s="3" t="s">
        <v>138</v>
      </c>
      <c r="B187" s="4"/>
      <c r="C187" s="4"/>
      <c r="D187" s="4"/>
      <c r="E187" s="4"/>
      <c r="F187" s="4"/>
      <c r="G187" s="4"/>
      <c r="H187" s="5">
        <f>127.33</f>
        <v>127.33</v>
      </c>
      <c r="I187" s="4"/>
      <c r="J187" s="5">
        <f>417.04</f>
        <v>417.04</v>
      </c>
      <c r="K187" s="5">
        <f>2078.39</f>
        <v>2078.39</v>
      </c>
      <c r="L187" s="4"/>
      <c r="M187" s="4"/>
      <c r="N187" s="5">
        <f t="shared" si="34"/>
        <v>2622.7599999999998</v>
      </c>
    </row>
    <row r="188" spans="1:14" x14ac:dyDescent="0.3">
      <c r="A188" s="3" t="s">
        <v>139</v>
      </c>
      <c r="B188" s="4"/>
      <c r="C188" s="4"/>
      <c r="D188" s="5">
        <f>458.33</f>
        <v>458.33</v>
      </c>
      <c r="E188" s="4"/>
      <c r="F188" s="4"/>
      <c r="G188" s="4"/>
      <c r="H188" s="4"/>
      <c r="I188" s="4"/>
      <c r="J188" s="4"/>
      <c r="K188" s="4"/>
      <c r="L188" s="4"/>
      <c r="M188" s="5">
        <f>491.25</f>
        <v>491.25</v>
      </c>
      <c r="N188" s="5">
        <f t="shared" si="34"/>
        <v>949.57999999999993</v>
      </c>
    </row>
    <row r="189" spans="1:14" x14ac:dyDescent="0.3">
      <c r="A189" s="3" t="s">
        <v>140</v>
      </c>
      <c r="B189" s="4"/>
      <c r="C189" s="4"/>
      <c r="D189" s="4"/>
      <c r="E189" s="4"/>
      <c r="F189" s="4"/>
      <c r="G189" s="4"/>
      <c r="H189" s="5">
        <f>1938.39</f>
        <v>1938.39</v>
      </c>
      <c r="I189" s="5">
        <f>10732.29</f>
        <v>10732.29</v>
      </c>
      <c r="J189" s="5">
        <f>13959.99</f>
        <v>13959.99</v>
      </c>
      <c r="K189" s="5">
        <f>41660.04</f>
        <v>41660.04</v>
      </c>
      <c r="L189" s="5">
        <f>70567.54</f>
        <v>70567.539999999994</v>
      </c>
      <c r="M189" s="5">
        <f>680.5</f>
        <v>680.5</v>
      </c>
      <c r="N189" s="5">
        <f t="shared" si="34"/>
        <v>139538.75</v>
      </c>
    </row>
    <row r="190" spans="1:14" x14ac:dyDescent="0.3">
      <c r="A190" s="3" t="s">
        <v>141</v>
      </c>
      <c r="B190" s="4"/>
      <c r="C190" s="4"/>
      <c r="D190" s="4"/>
      <c r="E190" s="4"/>
      <c r="F190" s="4"/>
      <c r="G190" s="4"/>
      <c r="H190" s="5">
        <f>226.12</f>
        <v>226.12</v>
      </c>
      <c r="I190" s="4"/>
      <c r="J190" s="4"/>
      <c r="K190" s="4"/>
      <c r="L190" s="4"/>
      <c r="M190" s="4"/>
      <c r="N190" s="5">
        <f t="shared" si="34"/>
        <v>226.12</v>
      </c>
    </row>
    <row r="191" spans="1:14" x14ac:dyDescent="0.3">
      <c r="A191" s="3" t="s">
        <v>142</v>
      </c>
      <c r="B191" s="6">
        <f t="shared" ref="B191:M191" si="40">(((((B185)+(B186))+(B187))+(B188))+(B189))+(B190)</f>
        <v>2288.0500000000002</v>
      </c>
      <c r="C191" s="6">
        <f t="shared" si="40"/>
        <v>1380.1</v>
      </c>
      <c r="D191" s="6">
        <f t="shared" si="40"/>
        <v>1723.02</v>
      </c>
      <c r="E191" s="6">
        <f t="shared" si="40"/>
        <v>279.88</v>
      </c>
      <c r="F191" s="6">
        <f t="shared" si="40"/>
        <v>3381.1</v>
      </c>
      <c r="G191" s="6">
        <f t="shared" si="40"/>
        <v>1075.19</v>
      </c>
      <c r="H191" s="6">
        <f t="shared" si="40"/>
        <v>4615.3900000000003</v>
      </c>
      <c r="I191" s="6">
        <f t="shared" si="40"/>
        <v>11156.18</v>
      </c>
      <c r="J191" s="6">
        <f t="shared" si="40"/>
        <v>17744.61</v>
      </c>
      <c r="K191" s="6">
        <f t="shared" si="40"/>
        <v>44855.66</v>
      </c>
      <c r="L191" s="6">
        <f t="shared" si="40"/>
        <v>74520.5</v>
      </c>
      <c r="M191" s="6">
        <f t="shared" si="40"/>
        <v>3015.1400000000003</v>
      </c>
      <c r="N191" s="6">
        <f t="shared" si="34"/>
        <v>166034.82</v>
      </c>
    </row>
    <row r="192" spans="1:14" x14ac:dyDescent="0.3">
      <c r="A192" s="3" t="s">
        <v>143</v>
      </c>
      <c r="B192" s="5">
        <f>5381.98</f>
        <v>5381.98</v>
      </c>
      <c r="C192" s="5">
        <f>7423.83</f>
        <v>7423.83</v>
      </c>
      <c r="D192" s="5">
        <f>2821.1</f>
        <v>2821.1</v>
      </c>
      <c r="E192" s="5">
        <f>3140.59</f>
        <v>3140.59</v>
      </c>
      <c r="F192" s="5">
        <f>505.49</f>
        <v>505.49</v>
      </c>
      <c r="G192" s="5">
        <f>-1628.92</f>
        <v>-1628.92</v>
      </c>
      <c r="H192" s="5">
        <f>2906.12</f>
        <v>2906.12</v>
      </c>
      <c r="I192" s="5">
        <f>3139.77</f>
        <v>3139.77</v>
      </c>
      <c r="J192" s="5">
        <f>3648.86</f>
        <v>3648.86</v>
      </c>
      <c r="K192" s="5">
        <f>5028.45</f>
        <v>5028.45</v>
      </c>
      <c r="L192" s="5">
        <f>3238.83</f>
        <v>3238.83</v>
      </c>
      <c r="M192" s="5">
        <f>3473.27</f>
        <v>3473.27</v>
      </c>
      <c r="N192" s="5">
        <f t="shared" si="34"/>
        <v>39079.369999999995</v>
      </c>
    </row>
    <row r="193" spans="1:14" x14ac:dyDescent="0.3">
      <c r="A193" s="3" t="s">
        <v>137</v>
      </c>
      <c r="B193" s="4"/>
      <c r="C193" s="5">
        <f>-111.13</f>
        <v>-111.13</v>
      </c>
      <c r="D193" s="4"/>
      <c r="E193" s="5">
        <f>205</f>
        <v>205</v>
      </c>
      <c r="F193" s="5">
        <f>747.39</f>
        <v>747.39</v>
      </c>
      <c r="G193" s="5">
        <f>115.51</f>
        <v>115.51</v>
      </c>
      <c r="H193" s="5">
        <f>184.5</f>
        <v>184.5</v>
      </c>
      <c r="I193" s="5">
        <f>90.98</f>
        <v>90.98</v>
      </c>
      <c r="J193" s="5">
        <f>28.03</f>
        <v>28.03</v>
      </c>
      <c r="K193" s="5">
        <f>148.63</f>
        <v>148.63</v>
      </c>
      <c r="L193" s="4"/>
      <c r="M193" s="5">
        <f>57.25</f>
        <v>57.25</v>
      </c>
      <c r="N193" s="5">
        <f t="shared" si="34"/>
        <v>1466.1599999999999</v>
      </c>
    </row>
    <row r="194" spans="1:14" x14ac:dyDescent="0.3">
      <c r="A194" s="3" t="s">
        <v>144</v>
      </c>
      <c r="B194" s="5">
        <f>21928.42</f>
        <v>21928.42</v>
      </c>
      <c r="C194" s="5">
        <f>6333.52</f>
        <v>6333.52</v>
      </c>
      <c r="D194" s="5">
        <f>24209.68</f>
        <v>24209.68</v>
      </c>
      <c r="E194" s="5">
        <f>12840.97</f>
        <v>12840.97</v>
      </c>
      <c r="F194" s="5">
        <f>18907.94</f>
        <v>18907.939999999999</v>
      </c>
      <c r="G194" s="5">
        <f>15576.49</f>
        <v>15576.49</v>
      </c>
      <c r="H194" s="5">
        <f>12740.45</f>
        <v>12740.45</v>
      </c>
      <c r="I194" s="5">
        <f>16921.68</f>
        <v>16921.68</v>
      </c>
      <c r="J194" s="5">
        <f>14368.28</f>
        <v>14368.28</v>
      </c>
      <c r="K194" s="5">
        <f>15552.43</f>
        <v>15552.43</v>
      </c>
      <c r="L194" s="5">
        <f>15252.13</f>
        <v>15252.13</v>
      </c>
      <c r="M194" s="5">
        <f>12971.41</f>
        <v>12971.41</v>
      </c>
      <c r="N194" s="5">
        <f t="shared" si="34"/>
        <v>187603.4</v>
      </c>
    </row>
    <row r="195" spans="1:14" x14ac:dyDescent="0.3">
      <c r="A195" s="3" t="s">
        <v>138</v>
      </c>
      <c r="B195" s="5">
        <f>-326.21</f>
        <v>-326.20999999999998</v>
      </c>
      <c r="C195" s="5">
        <f>-23.11</f>
        <v>-23.11</v>
      </c>
      <c r="D195" s="5">
        <f>-473.27</f>
        <v>-473.27</v>
      </c>
      <c r="E195" s="5">
        <f>152.42</f>
        <v>152.41999999999999</v>
      </c>
      <c r="F195" s="5">
        <f>1602.32</f>
        <v>1602.32</v>
      </c>
      <c r="G195" s="5">
        <f>217.31</f>
        <v>217.31</v>
      </c>
      <c r="H195" s="5">
        <f>-186.19</f>
        <v>-186.19</v>
      </c>
      <c r="I195" s="5">
        <f>732.54</f>
        <v>732.54</v>
      </c>
      <c r="J195" s="5">
        <f>-22.51</f>
        <v>-22.51</v>
      </c>
      <c r="K195" s="5">
        <f>-398.45</f>
        <v>-398.45</v>
      </c>
      <c r="L195" s="5">
        <f>-312.87</f>
        <v>-312.87</v>
      </c>
      <c r="M195" s="5">
        <f>-344.62</f>
        <v>-344.62</v>
      </c>
      <c r="N195" s="5">
        <f t="shared" si="34"/>
        <v>617.3599999999999</v>
      </c>
    </row>
    <row r="196" spans="1:14" x14ac:dyDescent="0.3">
      <c r="A196" s="3" t="s">
        <v>145</v>
      </c>
      <c r="B196" s="4"/>
      <c r="C196" s="4"/>
      <c r="D196" s="4"/>
      <c r="E196" s="4"/>
      <c r="F196" s="4"/>
      <c r="G196" s="4"/>
      <c r="H196" s="4"/>
      <c r="I196" s="5">
        <f>351.07</f>
        <v>351.07</v>
      </c>
      <c r="J196" s="5">
        <f>299.7</f>
        <v>299.7</v>
      </c>
      <c r="K196" s="4"/>
      <c r="L196" s="5">
        <f>168.56</f>
        <v>168.56</v>
      </c>
      <c r="M196" s="5">
        <f>11.89</f>
        <v>11.89</v>
      </c>
      <c r="N196" s="5">
        <f t="shared" si="34"/>
        <v>831.21999999999991</v>
      </c>
    </row>
    <row r="197" spans="1:14" x14ac:dyDescent="0.3">
      <c r="A197" s="3" t="s">
        <v>139</v>
      </c>
      <c r="B197" s="4"/>
      <c r="C197" s="4"/>
      <c r="D197" s="5">
        <f>2243.17</f>
        <v>2243.17</v>
      </c>
      <c r="E197" s="4"/>
      <c r="F197" s="4"/>
      <c r="G197" s="4"/>
      <c r="H197" s="4"/>
      <c r="I197" s="4"/>
      <c r="J197" s="5">
        <f>1213.51</f>
        <v>1213.51</v>
      </c>
      <c r="K197" s="5">
        <f>764.4</f>
        <v>764.4</v>
      </c>
      <c r="L197" s="5">
        <f>388.98</f>
        <v>388.98</v>
      </c>
      <c r="M197" s="5">
        <f>1506.6</f>
        <v>1506.6</v>
      </c>
      <c r="N197" s="5">
        <f t="shared" si="34"/>
        <v>6116.66</v>
      </c>
    </row>
    <row r="198" spans="1:14" x14ac:dyDescent="0.3">
      <c r="A198" s="3" t="s">
        <v>140</v>
      </c>
      <c r="B198" s="4"/>
      <c r="C198" s="4"/>
      <c r="D198" s="4"/>
      <c r="E198" s="4"/>
      <c r="F198" s="4"/>
      <c r="G198" s="4"/>
      <c r="H198" s="5">
        <f>527.55</f>
        <v>527.54999999999995</v>
      </c>
      <c r="I198" s="5">
        <f>54.4</f>
        <v>54.4</v>
      </c>
      <c r="J198" s="5">
        <f>188</f>
        <v>188</v>
      </c>
      <c r="K198" s="5">
        <f>749.97</f>
        <v>749.97</v>
      </c>
      <c r="L198" s="5">
        <f>484.6</f>
        <v>484.6</v>
      </c>
      <c r="M198" s="5">
        <f>141</f>
        <v>141</v>
      </c>
      <c r="N198" s="5">
        <f t="shared" si="34"/>
        <v>2145.52</v>
      </c>
    </row>
    <row r="199" spans="1:14" x14ac:dyDescent="0.3">
      <c r="A199" s="3" t="s">
        <v>141</v>
      </c>
      <c r="B199" s="4"/>
      <c r="C199" s="4"/>
      <c r="D199" s="4"/>
      <c r="E199" s="4"/>
      <c r="F199" s="5">
        <f>272.46</f>
        <v>272.45999999999998</v>
      </c>
      <c r="G199" s="5">
        <f>219.76</f>
        <v>219.76</v>
      </c>
      <c r="H199" s="5">
        <f>226.83</f>
        <v>226.83</v>
      </c>
      <c r="I199" s="5">
        <f>256.38</f>
        <v>256.38</v>
      </c>
      <c r="J199" s="5">
        <f>25.98</f>
        <v>25.98</v>
      </c>
      <c r="K199" s="5">
        <f>24.25</f>
        <v>24.25</v>
      </c>
      <c r="L199" s="5">
        <f>25.02</f>
        <v>25.02</v>
      </c>
      <c r="M199" s="5">
        <f>176.27</f>
        <v>176.27</v>
      </c>
      <c r="N199" s="5">
        <f t="shared" si="34"/>
        <v>1226.9499999999998</v>
      </c>
    </row>
    <row r="200" spans="1:14" x14ac:dyDescent="0.3">
      <c r="A200" s="3" t="s">
        <v>146</v>
      </c>
      <c r="B200" s="5">
        <f>1831.08</f>
        <v>1831.08</v>
      </c>
      <c r="C200" s="5">
        <f>1002.33</f>
        <v>1002.33</v>
      </c>
      <c r="D200" s="4"/>
      <c r="E200" s="5">
        <f>3216.09</f>
        <v>3216.09</v>
      </c>
      <c r="F200" s="4"/>
      <c r="G200" s="4"/>
      <c r="H200" s="5">
        <f>1077.87</f>
        <v>1077.8699999999999</v>
      </c>
      <c r="I200" s="5">
        <f>2678.23</f>
        <v>2678.23</v>
      </c>
      <c r="J200" s="5">
        <f>2224.22</f>
        <v>2224.2199999999998</v>
      </c>
      <c r="K200" s="4"/>
      <c r="L200" s="5">
        <f>3254.58</f>
        <v>3254.58</v>
      </c>
      <c r="M200" s="5">
        <f>3515.84</f>
        <v>3515.84</v>
      </c>
      <c r="N200" s="5">
        <f t="shared" si="34"/>
        <v>18800.239999999998</v>
      </c>
    </row>
    <row r="201" spans="1:14" x14ac:dyDescent="0.3">
      <c r="A201" s="3" t="s">
        <v>147</v>
      </c>
      <c r="B201" s="6">
        <f t="shared" ref="B201:M201" si="41">((((((((B192)+(B193))+(B194))+(B195))+(B196))+(B197))+(B198))+(B199))+(B200)</f>
        <v>28815.269999999997</v>
      </c>
      <c r="C201" s="6">
        <f t="shared" si="41"/>
        <v>14625.44</v>
      </c>
      <c r="D201" s="6">
        <f t="shared" si="41"/>
        <v>28800.68</v>
      </c>
      <c r="E201" s="6">
        <f t="shared" si="41"/>
        <v>19555.07</v>
      </c>
      <c r="F201" s="6">
        <f t="shared" si="41"/>
        <v>22035.599999999999</v>
      </c>
      <c r="G201" s="6">
        <f t="shared" si="41"/>
        <v>14500.15</v>
      </c>
      <c r="H201" s="6">
        <f t="shared" si="41"/>
        <v>17477.129999999997</v>
      </c>
      <c r="I201" s="6">
        <f t="shared" si="41"/>
        <v>24225.050000000003</v>
      </c>
      <c r="J201" s="6">
        <f t="shared" si="41"/>
        <v>21974.070000000003</v>
      </c>
      <c r="K201" s="6">
        <f t="shared" si="41"/>
        <v>21869.680000000004</v>
      </c>
      <c r="L201" s="6">
        <f t="shared" si="41"/>
        <v>22499.83</v>
      </c>
      <c r="M201" s="6">
        <f t="shared" si="41"/>
        <v>21508.91</v>
      </c>
      <c r="N201" s="6">
        <f t="shared" si="34"/>
        <v>257886.88000000003</v>
      </c>
    </row>
    <row r="202" spans="1:14" x14ac:dyDescent="0.3">
      <c r="A202" s="3" t="s">
        <v>148</v>
      </c>
      <c r="B202" s="5">
        <f>4732.31</f>
        <v>4732.3100000000004</v>
      </c>
      <c r="C202" s="5">
        <f>1503.82</f>
        <v>1503.82</v>
      </c>
      <c r="D202" s="5">
        <f>5324.27</f>
        <v>5324.27</v>
      </c>
      <c r="E202" s="5">
        <f>5565.47</f>
        <v>5565.47</v>
      </c>
      <c r="F202" s="5">
        <f>515.43</f>
        <v>515.42999999999995</v>
      </c>
      <c r="G202" s="5">
        <f>4381.86</f>
        <v>4381.8599999999997</v>
      </c>
      <c r="H202" s="5">
        <f>4442.58</f>
        <v>4442.58</v>
      </c>
      <c r="I202" s="5">
        <f>4169.38</f>
        <v>4169.38</v>
      </c>
      <c r="J202" s="5">
        <f>3304.42</f>
        <v>3304.42</v>
      </c>
      <c r="K202" s="5">
        <f>2140.05</f>
        <v>2140.0500000000002</v>
      </c>
      <c r="L202" s="5">
        <f>3850.92</f>
        <v>3850.92</v>
      </c>
      <c r="M202" s="5">
        <f>4392.1</f>
        <v>4392.1000000000004</v>
      </c>
      <c r="N202" s="5">
        <f t="shared" si="34"/>
        <v>44322.610000000008</v>
      </c>
    </row>
    <row r="203" spans="1:14" x14ac:dyDescent="0.3">
      <c r="A203" s="3" t="s">
        <v>137</v>
      </c>
      <c r="B203" s="4"/>
      <c r="C203" s="5">
        <f>745.12</f>
        <v>745.12</v>
      </c>
      <c r="D203" s="4"/>
      <c r="E203" s="5">
        <f>342.2</f>
        <v>342.2</v>
      </c>
      <c r="F203" s="5">
        <f>428.07</f>
        <v>428.07</v>
      </c>
      <c r="G203" s="5">
        <f>39.35</f>
        <v>39.35</v>
      </c>
      <c r="H203" s="5">
        <f>109.22</f>
        <v>109.22</v>
      </c>
      <c r="I203" s="5">
        <f>17.09</f>
        <v>17.09</v>
      </c>
      <c r="J203" s="5">
        <f>36.81</f>
        <v>36.81</v>
      </c>
      <c r="K203" s="5">
        <f>110.71</f>
        <v>110.71</v>
      </c>
      <c r="L203" s="4"/>
      <c r="M203" s="4"/>
      <c r="N203" s="5">
        <f t="shared" si="34"/>
        <v>1828.5699999999997</v>
      </c>
    </row>
    <row r="204" spans="1:14" x14ac:dyDescent="0.3">
      <c r="A204" s="3" t="s">
        <v>138</v>
      </c>
      <c r="B204" s="4"/>
      <c r="C204" s="4"/>
      <c r="D204" s="4"/>
      <c r="E204" s="5">
        <f>195.17</f>
        <v>195.17</v>
      </c>
      <c r="F204" s="5">
        <f>256.55</f>
        <v>256.55</v>
      </c>
      <c r="G204" s="4"/>
      <c r="H204" s="5">
        <f>190.33</f>
        <v>190.33</v>
      </c>
      <c r="I204" s="5">
        <f>986.6</f>
        <v>986.6</v>
      </c>
      <c r="J204" s="5">
        <f>29.78</f>
        <v>29.78</v>
      </c>
      <c r="K204" s="4"/>
      <c r="L204" s="5">
        <f>42.48</f>
        <v>42.48</v>
      </c>
      <c r="M204" s="5">
        <f>-1.3</f>
        <v>-1.3</v>
      </c>
      <c r="N204" s="5">
        <f t="shared" si="34"/>
        <v>1699.6100000000001</v>
      </c>
    </row>
    <row r="205" spans="1:14" x14ac:dyDescent="0.3">
      <c r="A205" s="3" t="s">
        <v>149</v>
      </c>
      <c r="B205" s="4"/>
      <c r="C205" s="4"/>
      <c r="D205" s="4"/>
      <c r="E205" s="4"/>
      <c r="F205" s="4"/>
      <c r="G205" s="4"/>
      <c r="H205" s="4"/>
      <c r="I205" s="4"/>
      <c r="J205" s="5">
        <f>14.98</f>
        <v>14.98</v>
      </c>
      <c r="K205" s="5">
        <f>280.18</f>
        <v>280.18</v>
      </c>
      <c r="L205" s="4"/>
      <c r="M205" s="4"/>
      <c r="N205" s="5">
        <f t="shared" si="34"/>
        <v>295.16000000000003</v>
      </c>
    </row>
    <row r="206" spans="1:14" x14ac:dyDescent="0.3">
      <c r="A206" s="3" t="s">
        <v>141</v>
      </c>
      <c r="B206" s="4"/>
      <c r="C206" s="4"/>
      <c r="D206" s="4"/>
      <c r="E206" s="4"/>
      <c r="F206" s="5">
        <f>1953.77</f>
        <v>1953.77</v>
      </c>
      <c r="G206" s="4"/>
      <c r="H206" s="5">
        <f>530.62</f>
        <v>530.62</v>
      </c>
      <c r="I206" s="5">
        <f>262.58</f>
        <v>262.58</v>
      </c>
      <c r="J206" s="4"/>
      <c r="K206" s="5">
        <f>41.86</f>
        <v>41.86</v>
      </c>
      <c r="L206" s="4"/>
      <c r="M206" s="4"/>
      <c r="N206" s="5">
        <f t="shared" si="34"/>
        <v>2788.83</v>
      </c>
    </row>
    <row r="207" spans="1:14" x14ac:dyDescent="0.3">
      <c r="A207" s="3" t="s">
        <v>150</v>
      </c>
      <c r="B207" s="6">
        <f t="shared" ref="B207:M207" si="42">((((B202)+(B203))+(B204))+(B205))+(B206)</f>
        <v>4732.3100000000004</v>
      </c>
      <c r="C207" s="6">
        <f t="shared" si="42"/>
        <v>2248.94</v>
      </c>
      <c r="D207" s="6">
        <f t="shared" si="42"/>
        <v>5324.27</v>
      </c>
      <c r="E207" s="6">
        <f t="shared" si="42"/>
        <v>6102.84</v>
      </c>
      <c r="F207" s="6">
        <f t="shared" si="42"/>
        <v>3153.8199999999997</v>
      </c>
      <c r="G207" s="6">
        <f t="shared" si="42"/>
        <v>4421.21</v>
      </c>
      <c r="H207" s="6">
        <f t="shared" si="42"/>
        <v>5272.75</v>
      </c>
      <c r="I207" s="6">
        <f t="shared" si="42"/>
        <v>5435.6500000000005</v>
      </c>
      <c r="J207" s="6">
        <f t="shared" si="42"/>
        <v>3385.9900000000002</v>
      </c>
      <c r="K207" s="6">
        <f t="shared" si="42"/>
        <v>2572.8000000000002</v>
      </c>
      <c r="L207" s="6">
        <f t="shared" si="42"/>
        <v>3893.4</v>
      </c>
      <c r="M207" s="6">
        <f t="shared" si="42"/>
        <v>4390.8</v>
      </c>
      <c r="N207" s="6">
        <f t="shared" si="34"/>
        <v>50934.780000000006</v>
      </c>
    </row>
    <row r="208" spans="1:14" x14ac:dyDescent="0.3">
      <c r="A208" s="3" t="s">
        <v>151</v>
      </c>
      <c r="B208" s="5">
        <f>170.47</f>
        <v>170.47</v>
      </c>
      <c r="C208" s="5">
        <f>1229.05</f>
        <v>1229.05</v>
      </c>
      <c r="D208" s="5">
        <f>217.21</f>
        <v>217.21</v>
      </c>
      <c r="E208" s="5">
        <f>208.99</f>
        <v>208.99</v>
      </c>
      <c r="F208" s="5">
        <f>1264.95</f>
        <v>1264.95</v>
      </c>
      <c r="G208" s="5">
        <f>211.13</f>
        <v>211.13</v>
      </c>
      <c r="H208" s="5">
        <f>140.92</f>
        <v>140.91999999999999</v>
      </c>
      <c r="I208" s="5">
        <f>1365.72</f>
        <v>1365.72</v>
      </c>
      <c r="J208" s="5">
        <f>273.36</f>
        <v>273.36</v>
      </c>
      <c r="K208" s="5">
        <f>291.54</f>
        <v>291.54000000000002</v>
      </c>
      <c r="L208" s="4"/>
      <c r="M208" s="4"/>
      <c r="N208" s="5">
        <f t="shared" si="34"/>
        <v>5373.34</v>
      </c>
    </row>
    <row r="209" spans="1:14" x14ac:dyDescent="0.3">
      <c r="A209" s="3" t="s">
        <v>137</v>
      </c>
      <c r="B209" s="5">
        <f t="shared" ref="B209:M209" si="43">238.4</f>
        <v>238.4</v>
      </c>
      <c r="C209" s="5">
        <f t="shared" si="43"/>
        <v>238.4</v>
      </c>
      <c r="D209" s="5">
        <f t="shared" si="43"/>
        <v>238.4</v>
      </c>
      <c r="E209" s="5">
        <f t="shared" si="43"/>
        <v>238.4</v>
      </c>
      <c r="F209" s="5">
        <f t="shared" si="43"/>
        <v>238.4</v>
      </c>
      <c r="G209" s="5">
        <f t="shared" si="43"/>
        <v>238.4</v>
      </c>
      <c r="H209" s="5">
        <f t="shared" si="43"/>
        <v>238.4</v>
      </c>
      <c r="I209" s="5">
        <f t="shared" si="43"/>
        <v>238.4</v>
      </c>
      <c r="J209" s="5">
        <f t="shared" si="43"/>
        <v>238.4</v>
      </c>
      <c r="K209" s="5">
        <f t="shared" si="43"/>
        <v>238.4</v>
      </c>
      <c r="L209" s="5">
        <f t="shared" si="43"/>
        <v>238.4</v>
      </c>
      <c r="M209" s="5">
        <f t="shared" si="43"/>
        <v>238.4</v>
      </c>
      <c r="N209" s="5">
        <f t="shared" si="34"/>
        <v>2860.8000000000006</v>
      </c>
    </row>
    <row r="210" spans="1:14" x14ac:dyDescent="0.3">
      <c r="A210" s="3" t="s">
        <v>138</v>
      </c>
      <c r="B210" s="5">
        <f>582.81</f>
        <v>582.80999999999995</v>
      </c>
      <c r="C210" s="5">
        <f>730.62</f>
        <v>730.62</v>
      </c>
      <c r="D210" s="5">
        <f>766.29</f>
        <v>766.29</v>
      </c>
      <c r="E210" s="5">
        <f>614.81</f>
        <v>614.80999999999995</v>
      </c>
      <c r="F210" s="5">
        <f>730.62</f>
        <v>730.62</v>
      </c>
      <c r="G210" s="5">
        <f>766.29</f>
        <v>766.29</v>
      </c>
      <c r="H210" s="5">
        <f>582.81</f>
        <v>582.80999999999995</v>
      </c>
      <c r="I210" s="5">
        <f>582.81</f>
        <v>582.80999999999995</v>
      </c>
      <c r="J210" s="5">
        <f>914.1</f>
        <v>914.1</v>
      </c>
      <c r="K210" s="5">
        <f>878.43</f>
        <v>878.43</v>
      </c>
      <c r="L210" s="5">
        <f>2039.74</f>
        <v>2039.74</v>
      </c>
      <c r="M210" s="5">
        <f>849.66</f>
        <v>849.66</v>
      </c>
      <c r="N210" s="5">
        <f t="shared" si="34"/>
        <v>10038.99</v>
      </c>
    </row>
    <row r="211" spans="1:14" x14ac:dyDescent="0.3">
      <c r="A211" s="3" t="s">
        <v>141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5">
        <f>63.28</f>
        <v>63.28</v>
      </c>
      <c r="M211" s="4"/>
      <c r="N211" s="5">
        <f t="shared" si="34"/>
        <v>63.28</v>
      </c>
    </row>
    <row r="212" spans="1:14" x14ac:dyDescent="0.3">
      <c r="A212" s="3" t="s">
        <v>152</v>
      </c>
      <c r="B212" s="6">
        <f t="shared" ref="B212:M212" si="44">(((B208)+(B209))+(B210))+(B211)</f>
        <v>991.68</v>
      </c>
      <c r="C212" s="6">
        <f t="shared" si="44"/>
        <v>2198.0700000000002</v>
      </c>
      <c r="D212" s="6">
        <f t="shared" si="44"/>
        <v>1221.9000000000001</v>
      </c>
      <c r="E212" s="6">
        <f t="shared" si="44"/>
        <v>1062.1999999999998</v>
      </c>
      <c r="F212" s="6">
        <f t="shared" si="44"/>
        <v>2233.9700000000003</v>
      </c>
      <c r="G212" s="6">
        <f t="shared" si="44"/>
        <v>1215.82</v>
      </c>
      <c r="H212" s="6">
        <f t="shared" si="44"/>
        <v>962.12999999999988</v>
      </c>
      <c r="I212" s="6">
        <f t="shared" si="44"/>
        <v>2186.9300000000003</v>
      </c>
      <c r="J212" s="6">
        <f t="shared" si="44"/>
        <v>1425.8600000000001</v>
      </c>
      <c r="K212" s="6">
        <f t="shared" si="44"/>
        <v>1408.37</v>
      </c>
      <c r="L212" s="6">
        <f t="shared" si="44"/>
        <v>2341.42</v>
      </c>
      <c r="M212" s="6">
        <f t="shared" si="44"/>
        <v>1088.06</v>
      </c>
      <c r="N212" s="6">
        <f t="shared" si="34"/>
        <v>18336.41</v>
      </c>
    </row>
    <row r="213" spans="1:14" x14ac:dyDescent="0.3">
      <c r="A213" s="3" t="s">
        <v>153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>
        <f t="shared" si="34"/>
        <v>0</v>
      </c>
    </row>
    <row r="214" spans="1:14" x14ac:dyDescent="0.3">
      <c r="A214" s="3" t="s">
        <v>137</v>
      </c>
      <c r="B214" s="5">
        <f>9400</f>
        <v>9400</v>
      </c>
      <c r="C214" s="5">
        <f>11000</f>
        <v>11000</v>
      </c>
      <c r="D214" s="5">
        <f>11000</f>
        <v>11000</v>
      </c>
      <c r="E214" s="5">
        <f>11000</f>
        <v>11000</v>
      </c>
      <c r="F214" s="5">
        <f>13000</f>
        <v>13000</v>
      </c>
      <c r="G214" s="5">
        <f>13000</f>
        <v>13000</v>
      </c>
      <c r="H214" s="5">
        <f>13000</f>
        <v>13000</v>
      </c>
      <c r="I214" s="5">
        <f>14773.06</f>
        <v>14773.06</v>
      </c>
      <c r="J214" s="5">
        <f>11410</f>
        <v>11410</v>
      </c>
      <c r="K214" s="5">
        <f>11410</f>
        <v>11410</v>
      </c>
      <c r="L214" s="5">
        <f>11410</f>
        <v>11410</v>
      </c>
      <c r="M214" s="5">
        <f>11410</f>
        <v>11410</v>
      </c>
      <c r="N214" s="5">
        <f t="shared" si="34"/>
        <v>141813.06</v>
      </c>
    </row>
    <row r="215" spans="1:14" x14ac:dyDescent="0.3">
      <c r="A215" s="3" t="s">
        <v>138</v>
      </c>
      <c r="B215" s="5">
        <f>5620</f>
        <v>5620</v>
      </c>
      <c r="C215" s="5">
        <f>5600</f>
        <v>5600</v>
      </c>
      <c r="D215" s="5">
        <f>5600</f>
        <v>5600</v>
      </c>
      <c r="E215" s="5">
        <f>5600</f>
        <v>5600</v>
      </c>
      <c r="F215" s="5">
        <f>5600</f>
        <v>5600</v>
      </c>
      <c r="G215" s="5">
        <f>5600</f>
        <v>5600</v>
      </c>
      <c r="H215" s="5">
        <f>5600</f>
        <v>5600</v>
      </c>
      <c r="I215" s="5">
        <f>7069.39</f>
        <v>7069.39</v>
      </c>
      <c r="J215" s="5">
        <f>4610</f>
        <v>4610</v>
      </c>
      <c r="K215" s="5">
        <f>4610</f>
        <v>4610</v>
      </c>
      <c r="L215" s="5">
        <f>4610</f>
        <v>4610</v>
      </c>
      <c r="M215" s="5">
        <f>4610</f>
        <v>4610</v>
      </c>
      <c r="N215" s="5">
        <f t="shared" si="34"/>
        <v>64729.39</v>
      </c>
    </row>
    <row r="216" spans="1:14" x14ac:dyDescent="0.3">
      <c r="A216" s="3" t="s">
        <v>139</v>
      </c>
      <c r="B216" s="5">
        <f>1800</f>
        <v>1800</v>
      </c>
      <c r="C216" s="5">
        <f>1800</f>
        <v>1800</v>
      </c>
      <c r="D216" s="5">
        <f>1800</f>
        <v>1800</v>
      </c>
      <c r="E216" s="5">
        <f>1800</f>
        <v>1800</v>
      </c>
      <c r="F216" s="5">
        <f>1800</f>
        <v>1800</v>
      </c>
      <c r="G216" s="5">
        <f>1800</f>
        <v>1800</v>
      </c>
      <c r="H216" s="5">
        <f>1800</f>
        <v>1800</v>
      </c>
      <c r="I216" s="5">
        <f>1285.81</f>
        <v>1285.81</v>
      </c>
      <c r="J216" s="5">
        <f>1070</f>
        <v>1070</v>
      </c>
      <c r="K216" s="5">
        <f>1070</f>
        <v>1070</v>
      </c>
      <c r="L216" s="5">
        <f>1070</f>
        <v>1070</v>
      </c>
      <c r="M216" s="5">
        <f>1070</f>
        <v>1070</v>
      </c>
      <c r="N216" s="5">
        <f t="shared" si="34"/>
        <v>18165.809999999998</v>
      </c>
    </row>
    <row r="217" spans="1:14" x14ac:dyDescent="0.3">
      <c r="A217" s="3" t="s">
        <v>154</v>
      </c>
      <c r="B217" s="4"/>
      <c r="C217" s="4"/>
      <c r="D217" s="4"/>
      <c r="E217" s="4"/>
      <c r="F217" s="4"/>
      <c r="G217" s="4"/>
      <c r="H217" s="4"/>
      <c r="I217" s="5">
        <f>3164.71</f>
        <v>3164.71</v>
      </c>
      <c r="J217" s="5">
        <f>3160</f>
        <v>3160</v>
      </c>
      <c r="K217" s="5">
        <f>3160</f>
        <v>3160</v>
      </c>
      <c r="L217" s="5">
        <f>3160</f>
        <v>3160</v>
      </c>
      <c r="M217" s="5">
        <f>3160</f>
        <v>3160</v>
      </c>
      <c r="N217" s="5">
        <f t="shared" si="34"/>
        <v>15804.71</v>
      </c>
    </row>
    <row r="218" spans="1:14" x14ac:dyDescent="0.3">
      <c r="A218" s="3" t="s">
        <v>141</v>
      </c>
      <c r="B218" s="5">
        <f>1800</f>
        <v>1800</v>
      </c>
      <c r="C218" s="5">
        <f>1800</f>
        <v>1800</v>
      </c>
      <c r="D218" s="5">
        <f>1800</f>
        <v>1800</v>
      </c>
      <c r="E218" s="5">
        <f>1800</f>
        <v>1800</v>
      </c>
      <c r="F218" s="5">
        <f>1800</f>
        <v>1800</v>
      </c>
      <c r="G218" s="5">
        <f>1800</f>
        <v>1800</v>
      </c>
      <c r="H218" s="5">
        <f>1800</f>
        <v>1800</v>
      </c>
      <c r="I218" s="5">
        <f>1285.81</f>
        <v>1285.81</v>
      </c>
      <c r="J218" s="5">
        <f>1070</f>
        <v>1070</v>
      </c>
      <c r="K218" s="5">
        <f>1070</f>
        <v>1070</v>
      </c>
      <c r="L218" s="5">
        <f>1070</f>
        <v>1070</v>
      </c>
      <c r="M218" s="5">
        <f>1070</f>
        <v>1070</v>
      </c>
      <c r="N218" s="5">
        <f t="shared" si="34"/>
        <v>18165.809999999998</v>
      </c>
    </row>
    <row r="219" spans="1:14" x14ac:dyDescent="0.3">
      <c r="A219" s="3" t="s">
        <v>155</v>
      </c>
      <c r="B219" s="6">
        <f t="shared" ref="B219:M219" si="45">(((((B213)+(B214))+(B215))+(B216))+(B217))+(B218)</f>
        <v>18620</v>
      </c>
      <c r="C219" s="6">
        <f t="shared" si="45"/>
        <v>20200</v>
      </c>
      <c r="D219" s="6">
        <f t="shared" si="45"/>
        <v>20200</v>
      </c>
      <c r="E219" s="6">
        <f t="shared" si="45"/>
        <v>20200</v>
      </c>
      <c r="F219" s="6">
        <f t="shared" si="45"/>
        <v>22200</v>
      </c>
      <c r="G219" s="6">
        <f t="shared" si="45"/>
        <v>22200</v>
      </c>
      <c r="H219" s="6">
        <f t="shared" si="45"/>
        <v>22200</v>
      </c>
      <c r="I219" s="6">
        <f t="shared" si="45"/>
        <v>27578.780000000002</v>
      </c>
      <c r="J219" s="6">
        <f t="shared" si="45"/>
        <v>21320</v>
      </c>
      <c r="K219" s="6">
        <f t="shared" si="45"/>
        <v>21320</v>
      </c>
      <c r="L219" s="6">
        <f t="shared" si="45"/>
        <v>21320</v>
      </c>
      <c r="M219" s="6">
        <f t="shared" si="45"/>
        <v>21320</v>
      </c>
      <c r="N219" s="6">
        <f t="shared" si="34"/>
        <v>258678.78</v>
      </c>
    </row>
    <row r="220" spans="1:14" x14ac:dyDescent="0.3">
      <c r="A220" s="3" t="s">
        <v>156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>
        <f t="shared" si="34"/>
        <v>0</v>
      </c>
    </row>
    <row r="221" spans="1:14" x14ac:dyDescent="0.3">
      <c r="A221" s="3" t="s">
        <v>157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>
        <f t="shared" si="34"/>
        <v>0</v>
      </c>
    </row>
    <row r="222" spans="1:14" x14ac:dyDescent="0.3">
      <c r="A222" s="3" t="s">
        <v>96</v>
      </c>
      <c r="B222" s="5">
        <f t="shared" ref="B222:M222" si="46">20819.42</f>
        <v>20819.419999999998</v>
      </c>
      <c r="C222" s="5">
        <f t="shared" si="46"/>
        <v>20819.419999999998</v>
      </c>
      <c r="D222" s="5">
        <f t="shared" si="46"/>
        <v>20819.419999999998</v>
      </c>
      <c r="E222" s="5">
        <f t="shared" si="46"/>
        <v>20819.419999999998</v>
      </c>
      <c r="F222" s="5">
        <f t="shared" si="46"/>
        <v>20819.419999999998</v>
      </c>
      <c r="G222" s="5">
        <f t="shared" si="46"/>
        <v>20819.419999999998</v>
      </c>
      <c r="H222" s="5">
        <f t="shared" si="46"/>
        <v>20819.419999999998</v>
      </c>
      <c r="I222" s="5">
        <f t="shared" si="46"/>
        <v>20819.419999999998</v>
      </c>
      <c r="J222" s="5">
        <f t="shared" si="46"/>
        <v>20819.419999999998</v>
      </c>
      <c r="K222" s="5">
        <f t="shared" si="46"/>
        <v>20819.419999999998</v>
      </c>
      <c r="L222" s="5">
        <f t="shared" si="46"/>
        <v>20819.419999999998</v>
      </c>
      <c r="M222" s="5">
        <f t="shared" si="46"/>
        <v>20819.419999999998</v>
      </c>
      <c r="N222" s="5">
        <f t="shared" si="34"/>
        <v>249833.03999999992</v>
      </c>
    </row>
    <row r="223" spans="1:14" x14ac:dyDescent="0.3">
      <c r="A223" s="3" t="s">
        <v>97</v>
      </c>
      <c r="B223" s="5">
        <f t="shared" ref="B223:M223" si="47">12654.25</f>
        <v>12654.25</v>
      </c>
      <c r="C223" s="5">
        <f t="shared" si="47"/>
        <v>12654.25</v>
      </c>
      <c r="D223" s="5">
        <f t="shared" si="47"/>
        <v>12654.25</v>
      </c>
      <c r="E223" s="5">
        <f t="shared" si="47"/>
        <v>12654.25</v>
      </c>
      <c r="F223" s="5">
        <f t="shared" si="47"/>
        <v>12654.25</v>
      </c>
      <c r="G223" s="5">
        <f t="shared" si="47"/>
        <v>12654.25</v>
      </c>
      <c r="H223" s="5">
        <f t="shared" si="47"/>
        <v>12654.25</v>
      </c>
      <c r="I223" s="5">
        <f t="shared" si="47"/>
        <v>12654.25</v>
      </c>
      <c r="J223" s="5">
        <f t="shared" si="47"/>
        <v>12654.25</v>
      </c>
      <c r="K223" s="5">
        <f t="shared" si="47"/>
        <v>12654.25</v>
      </c>
      <c r="L223" s="5">
        <f t="shared" si="47"/>
        <v>12654.25</v>
      </c>
      <c r="M223" s="5">
        <f t="shared" si="47"/>
        <v>12654.25</v>
      </c>
      <c r="N223" s="5">
        <f t="shared" si="34"/>
        <v>151851</v>
      </c>
    </row>
    <row r="224" spans="1:14" x14ac:dyDescent="0.3">
      <c r="A224" s="3" t="s">
        <v>100</v>
      </c>
      <c r="B224" s="5">
        <f t="shared" ref="B224:M224" si="48">17604.17</f>
        <v>17604.169999999998</v>
      </c>
      <c r="C224" s="5">
        <f t="shared" si="48"/>
        <v>17604.169999999998</v>
      </c>
      <c r="D224" s="5">
        <f t="shared" si="48"/>
        <v>17604.169999999998</v>
      </c>
      <c r="E224" s="5">
        <f t="shared" si="48"/>
        <v>17604.169999999998</v>
      </c>
      <c r="F224" s="5">
        <f t="shared" si="48"/>
        <v>17604.169999999998</v>
      </c>
      <c r="G224" s="5">
        <f t="shared" si="48"/>
        <v>17604.169999999998</v>
      </c>
      <c r="H224" s="5">
        <f t="shared" si="48"/>
        <v>17604.169999999998</v>
      </c>
      <c r="I224" s="5">
        <f t="shared" si="48"/>
        <v>17604.169999999998</v>
      </c>
      <c r="J224" s="5">
        <f t="shared" si="48"/>
        <v>17604.169999999998</v>
      </c>
      <c r="K224" s="5">
        <f t="shared" si="48"/>
        <v>17604.169999999998</v>
      </c>
      <c r="L224" s="5">
        <f t="shared" si="48"/>
        <v>17604.169999999998</v>
      </c>
      <c r="M224" s="5">
        <f t="shared" si="48"/>
        <v>17604.169999999998</v>
      </c>
      <c r="N224" s="5">
        <f t="shared" si="34"/>
        <v>211250.03999999992</v>
      </c>
    </row>
    <row r="225" spans="1:14" x14ac:dyDescent="0.3">
      <c r="A225" s="3" t="s">
        <v>158</v>
      </c>
      <c r="B225" s="5">
        <f>4000</f>
        <v>4000</v>
      </c>
      <c r="C225" s="5">
        <f>4000</f>
        <v>4000</v>
      </c>
      <c r="D225" s="5">
        <f>4000</f>
        <v>4000</v>
      </c>
      <c r="E225" s="5">
        <f>4000</f>
        <v>4000</v>
      </c>
      <c r="F225" s="5">
        <f>4000</f>
        <v>4000</v>
      </c>
      <c r="G225" s="5">
        <f>4000</f>
        <v>4000</v>
      </c>
      <c r="H225" s="5">
        <f>4000</f>
        <v>4000</v>
      </c>
      <c r="I225" s="5">
        <f>4000</f>
        <v>4000</v>
      </c>
      <c r="J225" s="5">
        <f>4000</f>
        <v>4000</v>
      </c>
      <c r="K225" s="5">
        <f>4000</f>
        <v>4000</v>
      </c>
      <c r="L225" s="5">
        <f>4000</f>
        <v>4000</v>
      </c>
      <c r="M225" s="5">
        <f>4000</f>
        <v>4000</v>
      </c>
      <c r="N225" s="5">
        <f t="shared" si="34"/>
        <v>48000</v>
      </c>
    </row>
    <row r="226" spans="1:14" x14ac:dyDescent="0.3">
      <c r="A226" s="3" t="s">
        <v>159</v>
      </c>
      <c r="B226" s="6">
        <f t="shared" ref="B226:M226" si="49">((((B221)+(B222))+(B223))+(B224))+(B225)</f>
        <v>55077.84</v>
      </c>
      <c r="C226" s="6">
        <f t="shared" si="49"/>
        <v>55077.84</v>
      </c>
      <c r="D226" s="6">
        <f t="shared" si="49"/>
        <v>55077.84</v>
      </c>
      <c r="E226" s="6">
        <f t="shared" si="49"/>
        <v>55077.84</v>
      </c>
      <c r="F226" s="6">
        <f t="shared" si="49"/>
        <v>55077.84</v>
      </c>
      <c r="G226" s="6">
        <f t="shared" si="49"/>
        <v>55077.84</v>
      </c>
      <c r="H226" s="6">
        <f t="shared" si="49"/>
        <v>55077.84</v>
      </c>
      <c r="I226" s="6">
        <f t="shared" si="49"/>
        <v>55077.84</v>
      </c>
      <c r="J226" s="6">
        <f t="shared" si="49"/>
        <v>55077.84</v>
      </c>
      <c r="K226" s="6">
        <f t="shared" si="49"/>
        <v>55077.84</v>
      </c>
      <c r="L226" s="6">
        <f t="shared" si="49"/>
        <v>55077.84</v>
      </c>
      <c r="M226" s="6">
        <f t="shared" si="49"/>
        <v>55077.84</v>
      </c>
      <c r="N226" s="6">
        <f t="shared" si="34"/>
        <v>660934.07999999973</v>
      </c>
    </row>
    <row r="227" spans="1:14" x14ac:dyDescent="0.3">
      <c r="A227" s="3" t="s">
        <v>160</v>
      </c>
      <c r="B227" s="5">
        <f t="shared" ref="B227:G227" si="50">5128.33</f>
        <v>5128.33</v>
      </c>
      <c r="C227" s="5">
        <f t="shared" si="50"/>
        <v>5128.33</v>
      </c>
      <c r="D227" s="5">
        <f t="shared" si="50"/>
        <v>5128.33</v>
      </c>
      <c r="E227" s="5">
        <f t="shared" si="50"/>
        <v>5128.33</v>
      </c>
      <c r="F227" s="5">
        <f t="shared" si="50"/>
        <v>5128.33</v>
      </c>
      <c r="G227" s="5">
        <f t="shared" si="50"/>
        <v>5128.33</v>
      </c>
      <c r="H227" s="5">
        <f>5129</f>
        <v>5129</v>
      </c>
      <c r="I227" s="5">
        <f>5129</f>
        <v>5129</v>
      </c>
      <c r="J227" s="5">
        <f>5129</f>
        <v>5129</v>
      </c>
      <c r="K227" s="5">
        <f>5129</f>
        <v>5129</v>
      </c>
      <c r="L227" s="5">
        <f>5129</f>
        <v>5129</v>
      </c>
      <c r="M227" s="5">
        <f>5129.01</f>
        <v>5129.01</v>
      </c>
      <c r="N227" s="5">
        <f t="shared" si="34"/>
        <v>61543.990000000005</v>
      </c>
    </row>
    <row r="228" spans="1:14" x14ac:dyDescent="0.3">
      <c r="A228" s="3" t="s">
        <v>161</v>
      </c>
      <c r="B228" s="4"/>
      <c r="C228" s="4"/>
      <c r="D228" s="5">
        <f>3890.4</f>
        <v>3890.4</v>
      </c>
      <c r="E228" s="4"/>
      <c r="F228" s="4"/>
      <c r="G228" s="4"/>
      <c r="H228" s="4"/>
      <c r="I228" s="4"/>
      <c r="J228" s="4"/>
      <c r="K228" s="5">
        <f>1900</f>
        <v>1900</v>
      </c>
      <c r="L228" s="5">
        <f>325</f>
        <v>325</v>
      </c>
      <c r="M228" s="5">
        <f>593</f>
        <v>593</v>
      </c>
      <c r="N228" s="5">
        <f t="shared" si="34"/>
        <v>6708.4</v>
      </c>
    </row>
    <row r="229" spans="1:14" x14ac:dyDescent="0.3">
      <c r="A229" s="3" t="s">
        <v>96</v>
      </c>
      <c r="B229" s="5">
        <f>5798.59</f>
        <v>5798.59</v>
      </c>
      <c r="C229" s="5">
        <f>5115.35</f>
        <v>5115.3500000000004</v>
      </c>
      <c r="D229" s="5">
        <f>3635.59</f>
        <v>3635.59</v>
      </c>
      <c r="E229" s="5">
        <f>1509.58</f>
        <v>1509.58</v>
      </c>
      <c r="F229" s="5">
        <f>2699.97</f>
        <v>2699.97</v>
      </c>
      <c r="G229" s="5">
        <f>2658.8</f>
        <v>2658.8</v>
      </c>
      <c r="H229" s="5">
        <f>6410.59</f>
        <v>6410.59</v>
      </c>
      <c r="I229" s="5">
        <f>2453.86</f>
        <v>2453.86</v>
      </c>
      <c r="J229" s="5">
        <f>656.98</f>
        <v>656.98</v>
      </c>
      <c r="K229" s="5">
        <f>686.07</f>
        <v>686.07</v>
      </c>
      <c r="L229" s="5">
        <f>2920.28</f>
        <v>2920.28</v>
      </c>
      <c r="M229" s="5">
        <f>2968.32</f>
        <v>2968.32</v>
      </c>
      <c r="N229" s="5">
        <f t="shared" si="34"/>
        <v>37513.980000000003</v>
      </c>
    </row>
    <row r="230" spans="1:14" x14ac:dyDescent="0.3">
      <c r="A230" s="3" t="s">
        <v>97</v>
      </c>
      <c r="B230" s="5">
        <f>6754.86</f>
        <v>6754.86</v>
      </c>
      <c r="C230" s="5">
        <f>3057.73</f>
        <v>3057.73</v>
      </c>
      <c r="D230" s="5">
        <f>3323.3</f>
        <v>3323.3</v>
      </c>
      <c r="E230" s="5">
        <f>3867.64</f>
        <v>3867.64</v>
      </c>
      <c r="F230" s="5">
        <f>4885.45</f>
        <v>4885.45</v>
      </c>
      <c r="G230" s="5">
        <f>3617.32</f>
        <v>3617.32</v>
      </c>
      <c r="H230" s="5">
        <f>4376.55</f>
        <v>4376.55</v>
      </c>
      <c r="I230" s="5">
        <f>8605.23</f>
        <v>8605.23</v>
      </c>
      <c r="J230" s="5">
        <f>2787.78</f>
        <v>2787.78</v>
      </c>
      <c r="K230" s="5">
        <f>4216.29</f>
        <v>4216.29</v>
      </c>
      <c r="L230" s="5">
        <f>3712.67</f>
        <v>3712.67</v>
      </c>
      <c r="M230" s="5">
        <f>5735.39</f>
        <v>5735.39</v>
      </c>
      <c r="N230" s="5">
        <f t="shared" si="34"/>
        <v>54940.21</v>
      </c>
    </row>
    <row r="231" spans="1:14" x14ac:dyDescent="0.3">
      <c r="A231" s="3" t="s">
        <v>162</v>
      </c>
      <c r="B231" s="4"/>
      <c r="C231" s="4"/>
      <c r="D231" s="4"/>
      <c r="E231" s="4"/>
      <c r="F231" s="4"/>
      <c r="G231" s="4"/>
      <c r="H231" s="4"/>
      <c r="I231" s="5">
        <f>625.38</f>
        <v>625.38</v>
      </c>
      <c r="J231" s="5">
        <f>9261.91</f>
        <v>9261.91</v>
      </c>
      <c r="K231" s="5">
        <f>13498</f>
        <v>13498</v>
      </c>
      <c r="L231" s="4"/>
      <c r="M231" s="4"/>
      <c r="N231" s="5">
        <f t="shared" si="34"/>
        <v>23385.29</v>
      </c>
    </row>
    <row r="232" spans="1:14" x14ac:dyDescent="0.3">
      <c r="A232" s="3" t="s">
        <v>100</v>
      </c>
      <c r="B232" s="5">
        <f>7815.56</f>
        <v>7815.56</v>
      </c>
      <c r="C232" s="5">
        <f>2902.64</f>
        <v>2902.64</v>
      </c>
      <c r="D232" s="5">
        <f>6295.88</f>
        <v>6295.88</v>
      </c>
      <c r="E232" s="5">
        <f>5986.62</f>
        <v>5986.62</v>
      </c>
      <c r="F232" s="5">
        <f>5639.08</f>
        <v>5639.08</v>
      </c>
      <c r="G232" s="5">
        <f>3977.98</f>
        <v>3977.98</v>
      </c>
      <c r="H232" s="5">
        <f>12096.7</f>
        <v>12096.7</v>
      </c>
      <c r="I232" s="5">
        <f>2302.91</f>
        <v>2302.91</v>
      </c>
      <c r="J232" s="5">
        <f>4098.13</f>
        <v>4098.13</v>
      </c>
      <c r="K232" s="5">
        <f>3878.09</f>
        <v>3878.09</v>
      </c>
      <c r="L232" s="5">
        <f>2997.88</f>
        <v>2997.88</v>
      </c>
      <c r="M232" s="5">
        <f>4371.47</f>
        <v>4371.47</v>
      </c>
      <c r="N232" s="5">
        <f t="shared" ref="N232:N295" si="51">(((((((((((B232)+(C232))+(D232))+(E232))+(F232))+(G232))+(H232))+(I232))+(J232))+(K232))+(L232))+(M232)</f>
        <v>62362.939999999995</v>
      </c>
    </row>
    <row r="233" spans="1:14" x14ac:dyDescent="0.3">
      <c r="A233" s="3" t="s">
        <v>163</v>
      </c>
      <c r="B233" s="6">
        <f t="shared" ref="B233:M233" si="52">((((B228)+(B229))+(B230))+(B231))+(B232)</f>
        <v>20369.010000000002</v>
      </c>
      <c r="C233" s="6">
        <f t="shared" si="52"/>
        <v>11075.72</v>
      </c>
      <c r="D233" s="6">
        <f t="shared" si="52"/>
        <v>17145.170000000002</v>
      </c>
      <c r="E233" s="6">
        <f t="shared" si="52"/>
        <v>11363.84</v>
      </c>
      <c r="F233" s="6">
        <f t="shared" si="52"/>
        <v>13224.5</v>
      </c>
      <c r="G233" s="6">
        <f t="shared" si="52"/>
        <v>10254.1</v>
      </c>
      <c r="H233" s="6">
        <f t="shared" si="52"/>
        <v>22883.84</v>
      </c>
      <c r="I233" s="6">
        <f t="shared" si="52"/>
        <v>13987.38</v>
      </c>
      <c r="J233" s="6">
        <f t="shared" si="52"/>
        <v>16804.8</v>
      </c>
      <c r="K233" s="6">
        <f t="shared" si="52"/>
        <v>24178.45</v>
      </c>
      <c r="L233" s="6">
        <f t="shared" si="52"/>
        <v>9955.8300000000017</v>
      </c>
      <c r="M233" s="6">
        <f t="shared" si="52"/>
        <v>13668.18</v>
      </c>
      <c r="N233" s="6">
        <f t="shared" si="51"/>
        <v>184910.82</v>
      </c>
    </row>
    <row r="234" spans="1:14" x14ac:dyDescent="0.3">
      <c r="A234" s="3" t="s">
        <v>164</v>
      </c>
      <c r="B234" s="5">
        <f>1984.26</f>
        <v>1984.26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>
        <f t="shared" si="51"/>
        <v>1984.26</v>
      </c>
    </row>
    <row r="235" spans="1:14" x14ac:dyDescent="0.3">
      <c r="A235" s="3" t="s">
        <v>96</v>
      </c>
      <c r="B235" s="5">
        <f>1635.99</f>
        <v>1635.99</v>
      </c>
      <c r="C235" s="5">
        <f>1659.54</f>
        <v>1659.54</v>
      </c>
      <c r="D235" s="5">
        <f>1052.84</f>
        <v>1052.8399999999999</v>
      </c>
      <c r="E235" s="5">
        <f>3539.21</f>
        <v>3539.21</v>
      </c>
      <c r="F235" s="5">
        <f>1971.37</f>
        <v>1971.37</v>
      </c>
      <c r="G235" s="5">
        <f>1872.77</f>
        <v>1872.77</v>
      </c>
      <c r="H235" s="5">
        <f>2870.44</f>
        <v>2870.44</v>
      </c>
      <c r="I235" s="5">
        <f>2112</f>
        <v>2112</v>
      </c>
      <c r="J235" s="5">
        <f>2344.16</f>
        <v>2344.16</v>
      </c>
      <c r="K235" s="5">
        <f>1934.34</f>
        <v>1934.34</v>
      </c>
      <c r="L235" s="5">
        <f>1909.6</f>
        <v>1909.6</v>
      </c>
      <c r="M235" s="5">
        <f>1900.25</f>
        <v>1900.25</v>
      </c>
      <c r="N235" s="5">
        <f t="shared" si="51"/>
        <v>24802.510000000002</v>
      </c>
    </row>
    <row r="236" spans="1:14" x14ac:dyDescent="0.3">
      <c r="A236" s="3" t="s">
        <v>97</v>
      </c>
      <c r="B236" s="5">
        <f>334.55</f>
        <v>334.55</v>
      </c>
      <c r="C236" s="5">
        <f>1367.65</f>
        <v>1367.65</v>
      </c>
      <c r="D236" s="5">
        <f>2190.04</f>
        <v>2190.04</v>
      </c>
      <c r="E236" s="5">
        <f>1734.55</f>
        <v>1734.55</v>
      </c>
      <c r="F236" s="5">
        <f>1808.97</f>
        <v>1808.97</v>
      </c>
      <c r="G236" s="5">
        <f>2013.07</f>
        <v>2013.07</v>
      </c>
      <c r="H236" s="5">
        <f>2337.36</f>
        <v>2337.36</v>
      </c>
      <c r="I236" s="5">
        <f>1767.34</f>
        <v>1767.34</v>
      </c>
      <c r="J236" s="5">
        <f>2242.37</f>
        <v>2242.37</v>
      </c>
      <c r="K236" s="5">
        <f>2093.33</f>
        <v>2093.33</v>
      </c>
      <c r="L236" s="5">
        <f>1845.59</f>
        <v>1845.59</v>
      </c>
      <c r="M236" s="5">
        <f>2117.84</f>
        <v>2117.84</v>
      </c>
      <c r="N236" s="5">
        <f t="shared" si="51"/>
        <v>21852.660000000003</v>
      </c>
    </row>
    <row r="237" spans="1:14" x14ac:dyDescent="0.3">
      <c r="A237" s="3" t="s">
        <v>100</v>
      </c>
      <c r="B237" s="5">
        <f>994.57</f>
        <v>994.57</v>
      </c>
      <c r="C237" s="5">
        <f>2703.46</f>
        <v>2703.46</v>
      </c>
      <c r="D237" s="5">
        <f>2429.93</f>
        <v>2429.9299999999998</v>
      </c>
      <c r="E237" s="5">
        <f>1914.9</f>
        <v>1914.9</v>
      </c>
      <c r="F237" s="5">
        <f>1842.28</f>
        <v>1842.28</v>
      </c>
      <c r="G237" s="5">
        <f>1763.55</f>
        <v>1763.55</v>
      </c>
      <c r="H237" s="5">
        <f>2278.32</f>
        <v>2278.3200000000002</v>
      </c>
      <c r="I237" s="5">
        <f>1855.57</f>
        <v>1855.57</v>
      </c>
      <c r="J237" s="5">
        <f>2493</f>
        <v>2493</v>
      </c>
      <c r="K237" s="5">
        <f>1767.22</f>
        <v>1767.22</v>
      </c>
      <c r="L237" s="5">
        <f>1829.31</f>
        <v>1829.31</v>
      </c>
      <c r="M237" s="5">
        <f>3884.45</f>
        <v>3884.45</v>
      </c>
      <c r="N237" s="5">
        <f t="shared" si="51"/>
        <v>25756.560000000005</v>
      </c>
    </row>
    <row r="238" spans="1:14" x14ac:dyDescent="0.3">
      <c r="A238" s="3" t="s">
        <v>165</v>
      </c>
      <c r="B238" s="6">
        <f t="shared" ref="B238:M238" si="53">(((B234)+(B235))+(B236))+(B237)</f>
        <v>4949.37</v>
      </c>
      <c r="C238" s="6">
        <f t="shared" si="53"/>
        <v>5730.65</v>
      </c>
      <c r="D238" s="6">
        <f t="shared" si="53"/>
        <v>5672.8099999999995</v>
      </c>
      <c r="E238" s="6">
        <f t="shared" si="53"/>
        <v>7188.66</v>
      </c>
      <c r="F238" s="6">
        <f t="shared" si="53"/>
        <v>5622.62</v>
      </c>
      <c r="G238" s="6">
        <f t="shared" si="53"/>
        <v>5649.39</v>
      </c>
      <c r="H238" s="6">
        <f t="shared" si="53"/>
        <v>7486.1200000000008</v>
      </c>
      <c r="I238" s="6">
        <f t="shared" si="53"/>
        <v>5734.91</v>
      </c>
      <c r="J238" s="6">
        <f t="shared" si="53"/>
        <v>7079.53</v>
      </c>
      <c r="K238" s="6">
        <f t="shared" si="53"/>
        <v>5794.89</v>
      </c>
      <c r="L238" s="6">
        <f t="shared" si="53"/>
        <v>5584.5</v>
      </c>
      <c r="M238" s="6">
        <f t="shared" si="53"/>
        <v>7902.54</v>
      </c>
      <c r="N238" s="6">
        <f t="shared" si="51"/>
        <v>74395.989999999991</v>
      </c>
    </row>
    <row r="239" spans="1:14" x14ac:dyDescent="0.3">
      <c r="A239" s="3" t="s">
        <v>166</v>
      </c>
      <c r="B239" s="6">
        <f t="shared" ref="B239:M239" si="54">((((B220)+(B226))+(B227))+(B233))+(B238)</f>
        <v>85524.549999999988</v>
      </c>
      <c r="C239" s="6">
        <f t="shared" si="54"/>
        <v>77012.539999999994</v>
      </c>
      <c r="D239" s="6">
        <f t="shared" si="54"/>
        <v>83024.149999999994</v>
      </c>
      <c r="E239" s="6">
        <f t="shared" si="54"/>
        <v>78758.67</v>
      </c>
      <c r="F239" s="6">
        <f t="shared" si="54"/>
        <v>79053.289999999994</v>
      </c>
      <c r="G239" s="6">
        <f t="shared" si="54"/>
        <v>76109.66</v>
      </c>
      <c r="H239" s="6">
        <f t="shared" si="54"/>
        <v>90576.799999999988</v>
      </c>
      <c r="I239" s="6">
        <f t="shared" si="54"/>
        <v>79929.13</v>
      </c>
      <c r="J239" s="6">
        <f t="shared" si="54"/>
        <v>84091.17</v>
      </c>
      <c r="K239" s="6">
        <f t="shared" si="54"/>
        <v>90180.18</v>
      </c>
      <c r="L239" s="6">
        <f t="shared" si="54"/>
        <v>75747.17</v>
      </c>
      <c r="M239" s="6">
        <f t="shared" si="54"/>
        <v>81777.569999999992</v>
      </c>
      <c r="N239" s="6">
        <f t="shared" si="51"/>
        <v>981784.87999999989</v>
      </c>
    </row>
    <row r="240" spans="1:14" x14ac:dyDescent="0.3">
      <c r="A240" s="3" t="s">
        <v>167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>
        <f t="shared" si="51"/>
        <v>0</v>
      </c>
    </row>
    <row r="241" spans="1:14" x14ac:dyDescent="0.3">
      <c r="A241" s="3" t="s">
        <v>168</v>
      </c>
      <c r="B241" s="5">
        <f>14350</f>
        <v>14350</v>
      </c>
      <c r="C241" s="5">
        <f>8750</f>
        <v>8750</v>
      </c>
      <c r="D241" s="5">
        <f>16800</f>
        <v>16800</v>
      </c>
      <c r="E241" s="5">
        <f>11900</f>
        <v>11900</v>
      </c>
      <c r="F241" s="5">
        <f>23800</f>
        <v>23800</v>
      </c>
      <c r="G241" s="5">
        <f>17850</f>
        <v>17850</v>
      </c>
      <c r="H241" s="5">
        <f>5600</f>
        <v>5600</v>
      </c>
      <c r="I241" s="5">
        <f>16100</f>
        <v>16100</v>
      </c>
      <c r="J241" s="5">
        <f>15750</f>
        <v>15750</v>
      </c>
      <c r="K241" s="5">
        <f>8400</f>
        <v>8400</v>
      </c>
      <c r="L241" s="5">
        <f>4550</f>
        <v>4550</v>
      </c>
      <c r="M241" s="5">
        <f>11550</f>
        <v>11550</v>
      </c>
      <c r="N241" s="5">
        <f t="shared" si="51"/>
        <v>155400</v>
      </c>
    </row>
    <row r="242" spans="1:14" x14ac:dyDescent="0.3">
      <c r="A242" s="3" t="s">
        <v>169</v>
      </c>
      <c r="B242" s="5">
        <f>31188</f>
        <v>31188</v>
      </c>
      <c r="C242" s="5">
        <f>20916</f>
        <v>20916</v>
      </c>
      <c r="D242" s="5">
        <f>33249</f>
        <v>33249</v>
      </c>
      <c r="E242" s="5">
        <f>23484</f>
        <v>23484</v>
      </c>
      <c r="F242" s="5">
        <f>48624</f>
        <v>48624</v>
      </c>
      <c r="G242" s="5">
        <f>32607</f>
        <v>32607</v>
      </c>
      <c r="H242" s="5">
        <f>11421</f>
        <v>11421</v>
      </c>
      <c r="I242" s="5">
        <f>33891</f>
        <v>33891</v>
      </c>
      <c r="J242" s="5">
        <f>29904</f>
        <v>29904</v>
      </c>
      <c r="K242" s="5">
        <f>16692</f>
        <v>16692</v>
      </c>
      <c r="L242" s="5">
        <f>8853</f>
        <v>8853</v>
      </c>
      <c r="M242" s="5">
        <f>22335</f>
        <v>22335</v>
      </c>
      <c r="N242" s="5">
        <f t="shared" si="51"/>
        <v>313164</v>
      </c>
    </row>
    <row r="243" spans="1:14" x14ac:dyDescent="0.3">
      <c r="A243" s="3" t="s">
        <v>170</v>
      </c>
      <c r="B243" s="5">
        <f>62750</f>
        <v>62750</v>
      </c>
      <c r="C243" s="5">
        <f>46650</f>
        <v>46650</v>
      </c>
      <c r="D243" s="5">
        <f>70600</f>
        <v>70600</v>
      </c>
      <c r="E243" s="5">
        <f>69700</f>
        <v>69700</v>
      </c>
      <c r="F243" s="5">
        <f>74950</f>
        <v>74950</v>
      </c>
      <c r="G243" s="5">
        <f>72100</f>
        <v>72100</v>
      </c>
      <c r="H243" s="5">
        <f>81650</f>
        <v>81650</v>
      </c>
      <c r="I243" s="5">
        <f>75150</f>
        <v>75150</v>
      </c>
      <c r="J243" s="5">
        <f>64250</f>
        <v>64250</v>
      </c>
      <c r="K243" s="5">
        <f>87450</f>
        <v>87450</v>
      </c>
      <c r="L243" s="5">
        <f>81650</f>
        <v>81650</v>
      </c>
      <c r="M243" s="5">
        <f>79950</f>
        <v>79950</v>
      </c>
      <c r="N243" s="5">
        <f t="shared" si="51"/>
        <v>866850</v>
      </c>
    </row>
    <row r="244" spans="1:14" x14ac:dyDescent="0.3">
      <c r="A244" s="3" t="s">
        <v>171</v>
      </c>
      <c r="B244" s="4"/>
      <c r="C244" s="5">
        <f>5000</f>
        <v>5000</v>
      </c>
      <c r="D244" s="5">
        <f>593</f>
        <v>593</v>
      </c>
      <c r="E244" s="4"/>
      <c r="F244" s="4"/>
      <c r="G244" s="5">
        <f>5000</f>
        <v>5000</v>
      </c>
      <c r="H244" s="4"/>
      <c r="I244" s="5">
        <f>4000</f>
        <v>4000</v>
      </c>
      <c r="J244" s="5">
        <f>8000</f>
        <v>8000</v>
      </c>
      <c r="K244" s="5">
        <f>1000</f>
        <v>1000</v>
      </c>
      <c r="L244" s="5">
        <f>6000</f>
        <v>6000</v>
      </c>
      <c r="M244" s="4"/>
      <c r="N244" s="5">
        <f t="shared" si="51"/>
        <v>29593</v>
      </c>
    </row>
    <row r="245" spans="1:14" x14ac:dyDescent="0.3">
      <c r="A245" s="3" t="s">
        <v>172</v>
      </c>
      <c r="B245" s="6">
        <f t="shared" ref="B245:M245" si="55">((((B240)+(B241))+(B242))+(B243))+(B244)</f>
        <v>108288</v>
      </c>
      <c r="C245" s="6">
        <f t="shared" si="55"/>
        <v>81316</v>
      </c>
      <c r="D245" s="6">
        <f t="shared" si="55"/>
        <v>121242</v>
      </c>
      <c r="E245" s="6">
        <f t="shared" si="55"/>
        <v>105084</v>
      </c>
      <c r="F245" s="6">
        <f t="shared" si="55"/>
        <v>147374</v>
      </c>
      <c r="G245" s="6">
        <f t="shared" si="55"/>
        <v>127557</v>
      </c>
      <c r="H245" s="6">
        <f t="shared" si="55"/>
        <v>98671</v>
      </c>
      <c r="I245" s="6">
        <f t="shared" si="55"/>
        <v>129141</v>
      </c>
      <c r="J245" s="6">
        <f t="shared" si="55"/>
        <v>117904</v>
      </c>
      <c r="K245" s="6">
        <f t="shared" si="55"/>
        <v>113542</v>
      </c>
      <c r="L245" s="6">
        <f t="shared" si="55"/>
        <v>101053</v>
      </c>
      <c r="M245" s="6">
        <f t="shared" si="55"/>
        <v>113835</v>
      </c>
      <c r="N245" s="6">
        <f t="shared" si="51"/>
        <v>1365007</v>
      </c>
    </row>
    <row r="246" spans="1:14" x14ac:dyDescent="0.3">
      <c r="A246" s="3" t="s">
        <v>173</v>
      </c>
      <c r="B246" s="5">
        <f>462.29</f>
        <v>462.29</v>
      </c>
      <c r="C246" s="4"/>
      <c r="D246" s="4"/>
      <c r="E246" s="5">
        <f>7258.5</f>
        <v>7258.5</v>
      </c>
      <c r="F246" s="4"/>
      <c r="G246" s="5">
        <f>8346.01</f>
        <v>8346.01</v>
      </c>
      <c r="H246" s="5">
        <f>58</f>
        <v>58</v>
      </c>
      <c r="I246" s="5">
        <f>137.65</f>
        <v>137.65</v>
      </c>
      <c r="J246" s="4"/>
      <c r="K246" s="5">
        <f>439.83</f>
        <v>439.83</v>
      </c>
      <c r="L246" s="4"/>
      <c r="M246" s="5">
        <f>0</f>
        <v>0</v>
      </c>
      <c r="N246" s="5">
        <f t="shared" si="51"/>
        <v>16702.28</v>
      </c>
    </row>
    <row r="247" spans="1:14" x14ac:dyDescent="0.3">
      <c r="A247" s="3" t="s">
        <v>137</v>
      </c>
      <c r="B247" s="5">
        <f>2305.81</f>
        <v>2305.81</v>
      </c>
      <c r="C247" s="5">
        <f>440.13</f>
        <v>440.13</v>
      </c>
      <c r="D247" s="5">
        <f>213.5</f>
        <v>213.5</v>
      </c>
      <c r="E247" s="5">
        <f>356.42</f>
        <v>356.42</v>
      </c>
      <c r="F247" s="5">
        <f>330.97</f>
        <v>330.97</v>
      </c>
      <c r="G247" s="5">
        <f>1045.16</f>
        <v>1045.1600000000001</v>
      </c>
      <c r="H247" s="5">
        <f>656.85</f>
        <v>656.85</v>
      </c>
      <c r="I247" s="4"/>
      <c r="J247" s="4"/>
      <c r="K247" s="4"/>
      <c r="L247" s="4"/>
      <c r="M247" s="4"/>
      <c r="N247" s="5">
        <f t="shared" si="51"/>
        <v>5348.84</v>
      </c>
    </row>
    <row r="248" spans="1:14" x14ac:dyDescent="0.3">
      <c r="A248" s="3" t="s">
        <v>138</v>
      </c>
      <c r="B248" s="4"/>
      <c r="C248" s="5">
        <f>287.19</f>
        <v>287.19</v>
      </c>
      <c r="D248" s="5">
        <f>1498.36</f>
        <v>1498.36</v>
      </c>
      <c r="E248" s="5">
        <f>342.4</f>
        <v>342.4</v>
      </c>
      <c r="F248" s="5">
        <f>653.14</f>
        <v>653.14</v>
      </c>
      <c r="G248" s="5">
        <f>1059.79</f>
        <v>1059.79</v>
      </c>
      <c r="H248" s="5">
        <f>5792.11</f>
        <v>5792.11</v>
      </c>
      <c r="I248" s="5">
        <f>630.05</f>
        <v>630.04999999999995</v>
      </c>
      <c r="J248" s="5">
        <f>659.52</f>
        <v>659.52</v>
      </c>
      <c r="K248" s="5">
        <f>2221.38</f>
        <v>2221.38</v>
      </c>
      <c r="L248" s="5">
        <f>1409.08</f>
        <v>1409.08</v>
      </c>
      <c r="M248" s="5">
        <f>2119.62</f>
        <v>2119.62</v>
      </c>
      <c r="N248" s="5">
        <f t="shared" si="51"/>
        <v>16672.64</v>
      </c>
    </row>
    <row r="249" spans="1:14" x14ac:dyDescent="0.3">
      <c r="A249" s="3" t="s">
        <v>174</v>
      </c>
      <c r="B249" s="4"/>
      <c r="C249" s="4"/>
      <c r="D249" s="4"/>
      <c r="E249" s="4"/>
      <c r="F249" s="4"/>
      <c r="G249" s="4"/>
      <c r="H249" s="4"/>
      <c r="I249" s="5">
        <f>352.28</f>
        <v>352.28</v>
      </c>
      <c r="J249" s="4"/>
      <c r="K249" s="4"/>
      <c r="L249" s="4"/>
      <c r="M249" s="4"/>
      <c r="N249" s="5">
        <f t="shared" si="51"/>
        <v>352.28</v>
      </c>
    </row>
    <row r="250" spans="1:14" x14ac:dyDescent="0.3">
      <c r="A250" s="3" t="s">
        <v>140</v>
      </c>
      <c r="B250" s="4"/>
      <c r="C250" s="4"/>
      <c r="D250" s="4"/>
      <c r="E250" s="4"/>
      <c r="F250" s="4"/>
      <c r="G250" s="4"/>
      <c r="H250" s="5">
        <f>264</f>
        <v>264</v>
      </c>
      <c r="I250" s="5">
        <f>17.56</f>
        <v>17.559999999999999</v>
      </c>
      <c r="J250" s="4"/>
      <c r="K250" s="4"/>
      <c r="L250" s="4"/>
      <c r="M250" s="4"/>
      <c r="N250" s="5">
        <f t="shared" si="51"/>
        <v>281.56</v>
      </c>
    </row>
    <row r="251" spans="1:14" x14ac:dyDescent="0.3">
      <c r="A251" s="3" t="s">
        <v>141</v>
      </c>
      <c r="B251" s="4"/>
      <c r="C251" s="5">
        <f>769.57</f>
        <v>769.57</v>
      </c>
      <c r="D251" s="4"/>
      <c r="E251" s="5">
        <f>192.15</f>
        <v>192.15</v>
      </c>
      <c r="F251" s="5">
        <f>170.8</f>
        <v>170.8</v>
      </c>
      <c r="G251" s="4"/>
      <c r="H251" s="5">
        <f>418.63</f>
        <v>418.63</v>
      </c>
      <c r="I251" s="4"/>
      <c r="J251" s="5">
        <f>277.55</f>
        <v>277.55</v>
      </c>
      <c r="K251" s="4"/>
      <c r="L251" s="4"/>
      <c r="M251" s="4"/>
      <c r="N251" s="5">
        <f t="shared" si="51"/>
        <v>1828.7</v>
      </c>
    </row>
    <row r="252" spans="1:14" x14ac:dyDescent="0.3">
      <c r="A252" s="3" t="s">
        <v>175</v>
      </c>
      <c r="B252" s="6">
        <f t="shared" ref="B252:M252" si="56">(((((B246)+(B247))+(B248))+(B249))+(B250))+(B251)</f>
        <v>2768.1</v>
      </c>
      <c r="C252" s="6">
        <f t="shared" si="56"/>
        <v>1496.8899999999999</v>
      </c>
      <c r="D252" s="6">
        <f t="shared" si="56"/>
        <v>1711.86</v>
      </c>
      <c r="E252" s="6">
        <f t="shared" si="56"/>
        <v>8149.4699999999993</v>
      </c>
      <c r="F252" s="6">
        <f t="shared" si="56"/>
        <v>1154.9100000000001</v>
      </c>
      <c r="G252" s="6">
        <f t="shared" si="56"/>
        <v>10450.959999999999</v>
      </c>
      <c r="H252" s="6">
        <f t="shared" si="56"/>
        <v>7189.59</v>
      </c>
      <c r="I252" s="6">
        <f t="shared" si="56"/>
        <v>1137.54</v>
      </c>
      <c r="J252" s="6">
        <f t="shared" si="56"/>
        <v>937.06999999999994</v>
      </c>
      <c r="K252" s="6">
        <f t="shared" si="56"/>
        <v>2661.21</v>
      </c>
      <c r="L252" s="6">
        <f t="shared" si="56"/>
        <v>1409.08</v>
      </c>
      <c r="M252" s="6">
        <f t="shared" si="56"/>
        <v>2119.62</v>
      </c>
      <c r="N252" s="6">
        <f t="shared" si="51"/>
        <v>41186.300000000003</v>
      </c>
    </row>
    <row r="253" spans="1:14" x14ac:dyDescent="0.3">
      <c r="A253" s="3" t="s">
        <v>176</v>
      </c>
      <c r="B253" s="5">
        <f>856.61</f>
        <v>856.61</v>
      </c>
      <c r="C253" s="5">
        <f>239.12</f>
        <v>239.12</v>
      </c>
      <c r="D253" s="5">
        <f>1501.98</f>
        <v>1501.98</v>
      </c>
      <c r="E253" s="5">
        <f>104.62</f>
        <v>104.62</v>
      </c>
      <c r="F253" s="5">
        <f>601.05</f>
        <v>601.04999999999995</v>
      </c>
      <c r="G253" s="4"/>
      <c r="H253" s="5">
        <f>61.92</f>
        <v>61.92</v>
      </c>
      <c r="I253" s="5">
        <f>718.16</f>
        <v>718.16</v>
      </c>
      <c r="J253" s="5">
        <f>314.91</f>
        <v>314.91000000000003</v>
      </c>
      <c r="K253" s="5">
        <f>31.1</f>
        <v>31.1</v>
      </c>
      <c r="L253" s="5">
        <f>526.6</f>
        <v>526.6</v>
      </c>
      <c r="M253" s="5">
        <f>226.31</f>
        <v>226.31</v>
      </c>
      <c r="N253" s="5">
        <f t="shared" si="51"/>
        <v>5182.380000000001</v>
      </c>
    </row>
    <row r="254" spans="1:14" x14ac:dyDescent="0.3">
      <c r="A254" s="3" t="s">
        <v>177</v>
      </c>
      <c r="B254" s="6">
        <f t="shared" ref="B254:M254" si="57">(((((((((B184)+(B191))+(B201))+(B207))+(B212))+(B219))+(B239))+(B245))+(B252))+(B253)</f>
        <v>252884.56999999998</v>
      </c>
      <c r="C254" s="6">
        <f t="shared" si="57"/>
        <v>200717.1</v>
      </c>
      <c r="D254" s="6">
        <f t="shared" si="57"/>
        <v>264749.86</v>
      </c>
      <c r="E254" s="6">
        <f t="shared" si="57"/>
        <v>239296.75</v>
      </c>
      <c r="F254" s="6">
        <f t="shared" si="57"/>
        <v>281187.74</v>
      </c>
      <c r="G254" s="6">
        <f t="shared" si="57"/>
        <v>257529.99</v>
      </c>
      <c r="H254" s="6">
        <f t="shared" si="57"/>
        <v>247026.71</v>
      </c>
      <c r="I254" s="6">
        <f t="shared" si="57"/>
        <v>281508.42</v>
      </c>
      <c r="J254" s="6">
        <f t="shared" si="57"/>
        <v>269097.68</v>
      </c>
      <c r="K254" s="6">
        <f t="shared" si="57"/>
        <v>298441</v>
      </c>
      <c r="L254" s="6">
        <f t="shared" si="57"/>
        <v>303311</v>
      </c>
      <c r="M254" s="6">
        <f t="shared" si="57"/>
        <v>249281.40999999997</v>
      </c>
      <c r="N254" s="6">
        <f t="shared" si="51"/>
        <v>3145032.23</v>
      </c>
    </row>
    <row r="255" spans="1:14" x14ac:dyDescent="0.3">
      <c r="A255" s="3" t="s">
        <v>178</v>
      </c>
      <c r="B255" s="4"/>
      <c r="C255" s="5">
        <f>5500.08</f>
        <v>5500.08</v>
      </c>
      <c r="D255" s="4"/>
      <c r="E255" s="4"/>
      <c r="F255" s="5">
        <f>40</f>
        <v>40</v>
      </c>
      <c r="G255" s="5">
        <f>84.33</f>
        <v>84.33</v>
      </c>
      <c r="H255" s="4"/>
      <c r="I255" s="4"/>
      <c r="J255" s="4"/>
      <c r="K255" s="5">
        <f>1</f>
        <v>1</v>
      </c>
      <c r="L255" s="4"/>
      <c r="M255" s="4"/>
      <c r="N255" s="5">
        <f t="shared" si="51"/>
        <v>5625.41</v>
      </c>
    </row>
    <row r="256" spans="1:14" x14ac:dyDescent="0.3">
      <c r="A256" s="3" t="s">
        <v>179</v>
      </c>
      <c r="B256" s="5">
        <f>9397.27</f>
        <v>9397.27</v>
      </c>
      <c r="C256" s="5">
        <f>10757.26</f>
        <v>10757.26</v>
      </c>
      <c r="D256" s="5">
        <f>7455.77</f>
        <v>7455.77</v>
      </c>
      <c r="E256" s="5">
        <f>17286.83</f>
        <v>17286.830000000002</v>
      </c>
      <c r="F256" s="5">
        <f>6223.42</f>
        <v>6223.42</v>
      </c>
      <c r="G256" s="5">
        <f>6773.93</f>
        <v>6773.93</v>
      </c>
      <c r="H256" s="5">
        <f>9076.26</f>
        <v>9076.26</v>
      </c>
      <c r="I256" s="5">
        <f>8130.65</f>
        <v>8130.65</v>
      </c>
      <c r="J256" s="5">
        <f>7082.68</f>
        <v>7082.68</v>
      </c>
      <c r="K256" s="5">
        <f>7972.66</f>
        <v>7972.66</v>
      </c>
      <c r="L256" s="5">
        <f>7557.97</f>
        <v>7557.97</v>
      </c>
      <c r="M256" s="5">
        <f>6959.58</f>
        <v>6959.58</v>
      </c>
      <c r="N256" s="5">
        <f t="shared" si="51"/>
        <v>104674.28000000001</v>
      </c>
    </row>
    <row r="257" spans="1:14" x14ac:dyDescent="0.3">
      <c r="A257" s="3" t="s">
        <v>138</v>
      </c>
      <c r="B257" s="4"/>
      <c r="C257" s="4"/>
      <c r="D257" s="4"/>
      <c r="E257" s="4"/>
      <c r="F257" s="4"/>
      <c r="G257" s="4"/>
      <c r="H257" s="5">
        <f>2500</f>
        <v>2500</v>
      </c>
      <c r="I257" s="4"/>
      <c r="J257" s="4"/>
      <c r="K257" s="4"/>
      <c r="L257" s="4"/>
      <c r="M257" s="4"/>
      <c r="N257" s="5">
        <f t="shared" si="51"/>
        <v>2500</v>
      </c>
    </row>
    <row r="258" spans="1:14" x14ac:dyDescent="0.3">
      <c r="A258" s="3" t="s">
        <v>180</v>
      </c>
      <c r="B258" s="5">
        <f>799</f>
        <v>799</v>
      </c>
      <c r="C258" s="5">
        <f>799</f>
        <v>799</v>
      </c>
      <c r="D258" s="5">
        <f>799</f>
        <v>799</v>
      </c>
      <c r="E258" s="5">
        <f>1598</f>
        <v>1598</v>
      </c>
      <c r="F258" s="4"/>
      <c r="G258" s="5">
        <f>799</f>
        <v>799</v>
      </c>
      <c r="H258" s="5">
        <f>799</f>
        <v>799</v>
      </c>
      <c r="I258" s="5">
        <f>799</f>
        <v>799</v>
      </c>
      <c r="J258" s="5">
        <f>799</f>
        <v>799</v>
      </c>
      <c r="K258" s="5">
        <f>799</f>
        <v>799</v>
      </c>
      <c r="L258" s="5">
        <f>799</f>
        <v>799</v>
      </c>
      <c r="M258" s="5">
        <f>799</f>
        <v>799</v>
      </c>
      <c r="N258" s="5">
        <f t="shared" si="51"/>
        <v>9588</v>
      </c>
    </row>
    <row r="259" spans="1:14" x14ac:dyDescent="0.3">
      <c r="A259" s="3" t="s">
        <v>139</v>
      </c>
      <c r="B259" s="4"/>
      <c r="C259" s="5">
        <f>752.21</f>
        <v>752.21</v>
      </c>
      <c r="D259" s="4"/>
      <c r="E259" s="5">
        <f>102.63</f>
        <v>102.63</v>
      </c>
      <c r="F259" s="4"/>
      <c r="G259" s="4"/>
      <c r="H259" s="4"/>
      <c r="I259" s="4"/>
      <c r="J259" s="4"/>
      <c r="K259" s="4"/>
      <c r="L259" s="4"/>
      <c r="M259" s="4"/>
      <c r="N259" s="5">
        <f t="shared" si="51"/>
        <v>854.84</v>
      </c>
    </row>
    <row r="260" spans="1:14" x14ac:dyDescent="0.3">
      <c r="A260" s="3" t="s">
        <v>181</v>
      </c>
      <c r="B260" s="6">
        <f t="shared" ref="B260:M260" si="58">(((B256)+(B257))+(B258))+(B259)</f>
        <v>10196.27</v>
      </c>
      <c r="C260" s="6">
        <f t="shared" si="58"/>
        <v>12308.470000000001</v>
      </c>
      <c r="D260" s="6">
        <f t="shared" si="58"/>
        <v>8254.77</v>
      </c>
      <c r="E260" s="6">
        <f t="shared" si="58"/>
        <v>18987.460000000003</v>
      </c>
      <c r="F260" s="6">
        <f t="shared" si="58"/>
        <v>6223.42</v>
      </c>
      <c r="G260" s="6">
        <f t="shared" si="58"/>
        <v>7572.93</v>
      </c>
      <c r="H260" s="6">
        <f t="shared" si="58"/>
        <v>12375.26</v>
      </c>
      <c r="I260" s="6">
        <f t="shared" si="58"/>
        <v>8929.65</v>
      </c>
      <c r="J260" s="6">
        <f t="shared" si="58"/>
        <v>7881.68</v>
      </c>
      <c r="K260" s="6">
        <f t="shared" si="58"/>
        <v>8771.66</v>
      </c>
      <c r="L260" s="6">
        <f t="shared" si="58"/>
        <v>8356.9700000000012</v>
      </c>
      <c r="M260" s="6">
        <f t="shared" si="58"/>
        <v>7758.58</v>
      </c>
      <c r="N260" s="6">
        <f t="shared" si="51"/>
        <v>117617.12000000001</v>
      </c>
    </row>
    <row r="261" spans="1:14" x14ac:dyDescent="0.3">
      <c r="A261" s="3" t="s">
        <v>182</v>
      </c>
      <c r="B261" s="5">
        <f>8433.1</f>
        <v>8433.1</v>
      </c>
      <c r="C261" s="5">
        <f>7874.91</f>
        <v>7874.91</v>
      </c>
      <c r="D261" s="5">
        <f>8446.34</f>
        <v>8446.34</v>
      </c>
      <c r="E261" s="5">
        <f>13935.57</f>
        <v>13935.57</v>
      </c>
      <c r="F261" s="5">
        <f>8811.99</f>
        <v>8811.99</v>
      </c>
      <c r="G261" s="5">
        <f>9603.29</f>
        <v>9603.2900000000009</v>
      </c>
      <c r="H261" s="5">
        <f>9844.62</f>
        <v>9844.6200000000008</v>
      </c>
      <c r="I261" s="5">
        <f>9562.69</f>
        <v>9562.69</v>
      </c>
      <c r="J261" s="5">
        <f>11228.77</f>
        <v>11228.77</v>
      </c>
      <c r="K261" s="5">
        <f>7363.39</f>
        <v>7363.39</v>
      </c>
      <c r="L261" s="5">
        <f>1495.83</f>
        <v>1495.83</v>
      </c>
      <c r="M261" s="5">
        <f>100.01</f>
        <v>100.01</v>
      </c>
      <c r="N261" s="5">
        <f t="shared" si="51"/>
        <v>96700.51</v>
      </c>
    </row>
    <row r="262" spans="1:14" x14ac:dyDescent="0.3">
      <c r="A262" s="3" t="s">
        <v>138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>
        <f>186.39</f>
        <v>186.39</v>
      </c>
      <c r="N262" s="5">
        <f t="shared" si="51"/>
        <v>186.39</v>
      </c>
    </row>
    <row r="263" spans="1:14" x14ac:dyDescent="0.3">
      <c r="A263" s="3" t="s">
        <v>183</v>
      </c>
      <c r="B263" s="6">
        <f t="shared" ref="B263:M263" si="59">(B261)+(B262)</f>
        <v>8433.1</v>
      </c>
      <c r="C263" s="6">
        <f t="shared" si="59"/>
        <v>7874.91</v>
      </c>
      <c r="D263" s="6">
        <f t="shared" si="59"/>
        <v>8446.34</v>
      </c>
      <c r="E263" s="6">
        <f t="shared" si="59"/>
        <v>13935.57</v>
      </c>
      <c r="F263" s="6">
        <f t="shared" si="59"/>
        <v>8811.99</v>
      </c>
      <c r="G263" s="6">
        <f t="shared" si="59"/>
        <v>9603.2900000000009</v>
      </c>
      <c r="H263" s="6">
        <f t="shared" si="59"/>
        <v>9844.6200000000008</v>
      </c>
      <c r="I263" s="6">
        <f t="shared" si="59"/>
        <v>9562.69</v>
      </c>
      <c r="J263" s="6">
        <f t="shared" si="59"/>
        <v>11228.77</v>
      </c>
      <c r="K263" s="6">
        <f t="shared" si="59"/>
        <v>7363.39</v>
      </c>
      <c r="L263" s="6">
        <f t="shared" si="59"/>
        <v>1495.83</v>
      </c>
      <c r="M263" s="6">
        <f t="shared" si="59"/>
        <v>286.39999999999998</v>
      </c>
      <c r="N263" s="6">
        <f t="shared" si="51"/>
        <v>96886.9</v>
      </c>
    </row>
    <row r="264" spans="1:14" x14ac:dyDescent="0.3">
      <c r="A264" s="3" t="s">
        <v>184</v>
      </c>
      <c r="B264" s="5">
        <f>1000</f>
        <v>1000</v>
      </c>
      <c r="C264" s="5">
        <f>100</f>
        <v>100</v>
      </c>
      <c r="D264" s="5">
        <f>500</f>
        <v>500</v>
      </c>
      <c r="E264" s="4"/>
      <c r="F264" s="4"/>
      <c r="G264" s="4"/>
      <c r="H264" s="5">
        <f>550</f>
        <v>550</v>
      </c>
      <c r="I264" s="5">
        <f>50</f>
        <v>50</v>
      </c>
      <c r="J264" s="5">
        <f>250</f>
        <v>250</v>
      </c>
      <c r="K264" s="5">
        <f>2257.11</f>
        <v>2257.11</v>
      </c>
      <c r="L264" s="5">
        <f>3000</f>
        <v>3000</v>
      </c>
      <c r="M264" s="4"/>
      <c r="N264" s="5">
        <f t="shared" si="51"/>
        <v>7707.1100000000006</v>
      </c>
    </row>
    <row r="265" spans="1:14" x14ac:dyDescent="0.3">
      <c r="A265" s="3" t="s">
        <v>185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>
        <f t="shared" si="51"/>
        <v>0</v>
      </c>
    </row>
    <row r="266" spans="1:14" x14ac:dyDescent="0.3">
      <c r="A266" s="3" t="s">
        <v>186</v>
      </c>
      <c r="B266" s="5">
        <f>463.84</f>
        <v>463.84</v>
      </c>
      <c r="C266" s="4"/>
      <c r="D266" s="5">
        <f>1752.78</f>
        <v>1752.78</v>
      </c>
      <c r="E266" s="5">
        <f>2157.38</f>
        <v>2157.38</v>
      </c>
      <c r="F266" s="4"/>
      <c r="G266" s="5">
        <f>2397.57</f>
        <v>2397.5700000000002</v>
      </c>
      <c r="H266" s="5">
        <f>736.1</f>
        <v>736.1</v>
      </c>
      <c r="I266" s="5">
        <f>1452.89</f>
        <v>1452.89</v>
      </c>
      <c r="J266" s="5">
        <f>1574.15</f>
        <v>1574.15</v>
      </c>
      <c r="K266" s="5">
        <f>1530.16</f>
        <v>1530.16</v>
      </c>
      <c r="L266" s="4"/>
      <c r="M266" s="4"/>
      <c r="N266" s="5">
        <f t="shared" si="51"/>
        <v>12064.869999999999</v>
      </c>
    </row>
    <row r="267" spans="1:14" x14ac:dyDescent="0.3">
      <c r="A267" s="3" t="s">
        <v>187</v>
      </c>
      <c r="B267" s="5">
        <f>13142.63</f>
        <v>13142.63</v>
      </c>
      <c r="C267" s="5">
        <f>15117.77</f>
        <v>15117.77</v>
      </c>
      <c r="D267" s="5">
        <f>13250.99</f>
        <v>13250.99</v>
      </c>
      <c r="E267" s="5">
        <f>15517.52</f>
        <v>15517.52</v>
      </c>
      <c r="F267" s="5">
        <f>11340.53</f>
        <v>11340.53</v>
      </c>
      <c r="G267" s="5">
        <f>27307.05</f>
        <v>27307.05</v>
      </c>
      <c r="H267" s="5">
        <f>22480.55</f>
        <v>22480.55</v>
      </c>
      <c r="I267" s="5">
        <f>12572.54</f>
        <v>12572.54</v>
      </c>
      <c r="J267" s="5">
        <f>13134.83</f>
        <v>13134.83</v>
      </c>
      <c r="K267" s="5">
        <f>16714.29</f>
        <v>16714.29</v>
      </c>
      <c r="L267" s="5">
        <f>13261.7</f>
        <v>13261.7</v>
      </c>
      <c r="M267" s="5">
        <f>13145.88</f>
        <v>13145.88</v>
      </c>
      <c r="N267" s="5">
        <f t="shared" si="51"/>
        <v>186986.28000000003</v>
      </c>
    </row>
    <row r="268" spans="1:14" x14ac:dyDescent="0.3">
      <c r="A268" s="3" t="s">
        <v>96</v>
      </c>
      <c r="B268" s="5">
        <f t="shared" ref="B268:J268" si="60">465.09</f>
        <v>465.09</v>
      </c>
      <c r="C268" s="5">
        <f t="shared" si="60"/>
        <v>465.09</v>
      </c>
      <c r="D268" s="5">
        <f t="shared" si="60"/>
        <v>465.09</v>
      </c>
      <c r="E268" s="5">
        <f t="shared" si="60"/>
        <v>465.09</v>
      </c>
      <c r="F268" s="5">
        <f t="shared" si="60"/>
        <v>465.09</v>
      </c>
      <c r="G268" s="5">
        <f t="shared" si="60"/>
        <v>465.09</v>
      </c>
      <c r="H268" s="5">
        <f t="shared" si="60"/>
        <v>465.09</v>
      </c>
      <c r="I268" s="5">
        <f t="shared" si="60"/>
        <v>465.09</v>
      </c>
      <c r="J268" s="5">
        <f t="shared" si="60"/>
        <v>465.09</v>
      </c>
      <c r="K268" s="5">
        <f>1040.23</f>
        <v>1040.23</v>
      </c>
      <c r="L268" s="5">
        <f>1040.23</f>
        <v>1040.23</v>
      </c>
      <c r="M268" s="5">
        <f>1040.23</f>
        <v>1040.23</v>
      </c>
      <c r="N268" s="5">
        <f t="shared" si="51"/>
        <v>7306.5</v>
      </c>
    </row>
    <row r="269" spans="1:14" x14ac:dyDescent="0.3">
      <c r="A269" s="3" t="s">
        <v>188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5">
        <f>268.13</f>
        <v>268.13</v>
      </c>
      <c r="M269" s="4"/>
      <c r="N269" s="5">
        <f t="shared" si="51"/>
        <v>268.13</v>
      </c>
    </row>
    <row r="270" spans="1:14" x14ac:dyDescent="0.3">
      <c r="A270" s="3" t="s">
        <v>97</v>
      </c>
      <c r="B270" s="5">
        <f t="shared" ref="B270:I270" si="61">1538.38</f>
        <v>1538.38</v>
      </c>
      <c r="C270" s="5">
        <f t="shared" si="61"/>
        <v>1538.38</v>
      </c>
      <c r="D270" s="5">
        <f t="shared" si="61"/>
        <v>1538.38</v>
      </c>
      <c r="E270" s="5">
        <f t="shared" si="61"/>
        <v>1538.38</v>
      </c>
      <c r="F270" s="5">
        <f t="shared" si="61"/>
        <v>1538.38</v>
      </c>
      <c r="G270" s="5">
        <f t="shared" si="61"/>
        <v>1538.38</v>
      </c>
      <c r="H270" s="5">
        <f t="shared" si="61"/>
        <v>1538.38</v>
      </c>
      <c r="I270" s="5">
        <f t="shared" si="61"/>
        <v>1538.38</v>
      </c>
      <c r="J270" s="5">
        <f>1538.34</f>
        <v>1538.34</v>
      </c>
      <c r="K270" s="5">
        <f>1040.23</f>
        <v>1040.23</v>
      </c>
      <c r="L270" s="5">
        <f>1040.23</f>
        <v>1040.23</v>
      </c>
      <c r="M270" s="5">
        <f>1040.23</f>
        <v>1040.23</v>
      </c>
      <c r="N270" s="5">
        <f t="shared" si="51"/>
        <v>16966.07</v>
      </c>
    </row>
    <row r="271" spans="1:14" x14ac:dyDescent="0.3">
      <c r="A271" s="3" t="s">
        <v>99</v>
      </c>
      <c r="B271" s="5">
        <f t="shared" ref="B271:J271" si="62">71.55</f>
        <v>71.55</v>
      </c>
      <c r="C271" s="5">
        <f t="shared" si="62"/>
        <v>71.55</v>
      </c>
      <c r="D271" s="5">
        <f t="shared" si="62"/>
        <v>71.55</v>
      </c>
      <c r="E271" s="5">
        <f t="shared" si="62"/>
        <v>71.55</v>
      </c>
      <c r="F271" s="5">
        <f t="shared" si="62"/>
        <v>71.55</v>
      </c>
      <c r="G271" s="5">
        <f t="shared" si="62"/>
        <v>71.55</v>
      </c>
      <c r="H271" s="5">
        <f t="shared" si="62"/>
        <v>71.55</v>
      </c>
      <c r="I271" s="5">
        <f t="shared" si="62"/>
        <v>71.55</v>
      </c>
      <c r="J271" s="5">
        <f t="shared" si="62"/>
        <v>71.55</v>
      </c>
      <c r="K271" s="5">
        <f>200</f>
        <v>200</v>
      </c>
      <c r="L271" s="5">
        <f>200</f>
        <v>200</v>
      </c>
      <c r="M271" s="5">
        <f>200</f>
        <v>200</v>
      </c>
      <c r="N271" s="5">
        <f t="shared" si="51"/>
        <v>1243.9499999999998</v>
      </c>
    </row>
    <row r="272" spans="1:14" x14ac:dyDescent="0.3">
      <c r="A272" s="3" t="s">
        <v>100</v>
      </c>
      <c r="B272" s="5">
        <f t="shared" ref="B272:J272" si="63">1502.6</f>
        <v>1502.6</v>
      </c>
      <c r="C272" s="5">
        <f t="shared" si="63"/>
        <v>1502.6</v>
      </c>
      <c r="D272" s="5">
        <f t="shared" si="63"/>
        <v>1502.6</v>
      </c>
      <c r="E272" s="5">
        <f t="shared" si="63"/>
        <v>1502.6</v>
      </c>
      <c r="F272" s="5">
        <f t="shared" si="63"/>
        <v>1502.6</v>
      </c>
      <c r="G272" s="5">
        <f t="shared" si="63"/>
        <v>1502.6</v>
      </c>
      <c r="H272" s="5">
        <f t="shared" si="63"/>
        <v>1502.6</v>
      </c>
      <c r="I272" s="5">
        <f t="shared" si="63"/>
        <v>1502.6</v>
      </c>
      <c r="J272" s="5">
        <f t="shared" si="63"/>
        <v>1502.6</v>
      </c>
      <c r="K272" s="5">
        <f>1040.23</f>
        <v>1040.23</v>
      </c>
      <c r="L272" s="5">
        <f>1040.23</f>
        <v>1040.23</v>
      </c>
      <c r="M272" s="5">
        <f>1040.23</f>
        <v>1040.23</v>
      </c>
      <c r="N272" s="5">
        <f t="shared" si="51"/>
        <v>16644.09</v>
      </c>
    </row>
    <row r="273" spans="1:14" x14ac:dyDescent="0.3">
      <c r="A273" s="3" t="s">
        <v>189</v>
      </c>
      <c r="B273" s="6">
        <f t="shared" ref="B273:M273" si="64">(((((B267)+(B268))+(B269))+(B270))+(B271))+(B272)</f>
        <v>16720.249999999996</v>
      </c>
      <c r="C273" s="6">
        <f t="shared" si="64"/>
        <v>18695.39</v>
      </c>
      <c r="D273" s="6">
        <f t="shared" si="64"/>
        <v>16828.609999999997</v>
      </c>
      <c r="E273" s="6">
        <f t="shared" si="64"/>
        <v>19095.14</v>
      </c>
      <c r="F273" s="6">
        <f t="shared" si="64"/>
        <v>14918.15</v>
      </c>
      <c r="G273" s="6">
        <f t="shared" si="64"/>
        <v>30884.67</v>
      </c>
      <c r="H273" s="6">
        <f t="shared" si="64"/>
        <v>26058.17</v>
      </c>
      <c r="I273" s="6">
        <f t="shared" si="64"/>
        <v>16150.160000000002</v>
      </c>
      <c r="J273" s="6">
        <f t="shared" si="64"/>
        <v>16712.41</v>
      </c>
      <c r="K273" s="6">
        <f t="shared" si="64"/>
        <v>20034.98</v>
      </c>
      <c r="L273" s="6">
        <f t="shared" si="64"/>
        <v>16850.52</v>
      </c>
      <c r="M273" s="6">
        <f t="shared" si="64"/>
        <v>16466.57</v>
      </c>
      <c r="N273" s="6">
        <f t="shared" si="51"/>
        <v>229415.02000000002</v>
      </c>
    </row>
    <row r="274" spans="1:14" x14ac:dyDescent="0.3">
      <c r="A274" s="3" t="s">
        <v>190</v>
      </c>
      <c r="B274" s="6">
        <f t="shared" ref="B274:M274" si="65">((B265)+(B266))+(B273)</f>
        <v>17184.089999999997</v>
      </c>
      <c r="C274" s="6">
        <f t="shared" si="65"/>
        <v>18695.39</v>
      </c>
      <c r="D274" s="6">
        <f t="shared" si="65"/>
        <v>18581.389999999996</v>
      </c>
      <c r="E274" s="6">
        <f t="shared" si="65"/>
        <v>21252.52</v>
      </c>
      <c r="F274" s="6">
        <f t="shared" si="65"/>
        <v>14918.15</v>
      </c>
      <c r="G274" s="6">
        <f t="shared" si="65"/>
        <v>33282.239999999998</v>
      </c>
      <c r="H274" s="6">
        <f t="shared" si="65"/>
        <v>26794.269999999997</v>
      </c>
      <c r="I274" s="6">
        <f t="shared" si="65"/>
        <v>17603.050000000003</v>
      </c>
      <c r="J274" s="6">
        <f t="shared" si="65"/>
        <v>18286.560000000001</v>
      </c>
      <c r="K274" s="6">
        <f t="shared" si="65"/>
        <v>21565.14</v>
      </c>
      <c r="L274" s="6">
        <f t="shared" si="65"/>
        <v>16850.52</v>
      </c>
      <c r="M274" s="6">
        <f t="shared" si="65"/>
        <v>16466.57</v>
      </c>
      <c r="N274" s="6">
        <f t="shared" si="51"/>
        <v>241479.88999999998</v>
      </c>
    </row>
    <row r="275" spans="1:14" x14ac:dyDescent="0.3">
      <c r="A275" s="3" t="s">
        <v>191</v>
      </c>
      <c r="B275" s="5">
        <f>347.86</f>
        <v>347.86</v>
      </c>
      <c r="C275" s="4"/>
      <c r="D275" s="5">
        <f>370</f>
        <v>370</v>
      </c>
      <c r="E275" s="4"/>
      <c r="F275" s="4"/>
      <c r="G275" s="4"/>
      <c r="H275" s="4"/>
      <c r="I275" s="4"/>
      <c r="J275" s="4"/>
      <c r="K275" s="4"/>
      <c r="L275" s="5">
        <f>230</f>
        <v>230</v>
      </c>
      <c r="M275" s="4"/>
      <c r="N275" s="5">
        <f t="shared" si="51"/>
        <v>947.86</v>
      </c>
    </row>
    <row r="276" spans="1:14" x14ac:dyDescent="0.3">
      <c r="A276" s="3" t="s">
        <v>141</v>
      </c>
      <c r="B276" s="5">
        <f>130</f>
        <v>130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>
        <f t="shared" si="51"/>
        <v>130</v>
      </c>
    </row>
    <row r="277" spans="1:14" x14ac:dyDescent="0.3">
      <c r="A277" s="3" t="s">
        <v>192</v>
      </c>
      <c r="B277" s="6">
        <f t="shared" ref="B277:M277" si="66">(B275)+(B276)</f>
        <v>477.86</v>
      </c>
      <c r="C277" s="6">
        <f t="shared" si="66"/>
        <v>0</v>
      </c>
      <c r="D277" s="6">
        <f t="shared" si="66"/>
        <v>370</v>
      </c>
      <c r="E277" s="6">
        <f t="shared" si="66"/>
        <v>0</v>
      </c>
      <c r="F277" s="6">
        <f t="shared" si="66"/>
        <v>0</v>
      </c>
      <c r="G277" s="6">
        <f t="shared" si="66"/>
        <v>0</v>
      </c>
      <c r="H277" s="6">
        <f t="shared" si="66"/>
        <v>0</v>
      </c>
      <c r="I277" s="6">
        <f t="shared" si="66"/>
        <v>0</v>
      </c>
      <c r="J277" s="6">
        <f t="shared" si="66"/>
        <v>0</v>
      </c>
      <c r="K277" s="6">
        <f t="shared" si="66"/>
        <v>0</v>
      </c>
      <c r="L277" s="6">
        <f t="shared" si="66"/>
        <v>230</v>
      </c>
      <c r="M277" s="6">
        <f t="shared" si="66"/>
        <v>0</v>
      </c>
      <c r="N277" s="6">
        <f t="shared" si="51"/>
        <v>1077.8600000000001</v>
      </c>
    </row>
    <row r="278" spans="1:14" x14ac:dyDescent="0.3">
      <c r="A278" s="3" t="s">
        <v>193</v>
      </c>
      <c r="B278" s="5">
        <f>24793</f>
        <v>24793</v>
      </c>
      <c r="C278" s="4"/>
      <c r="D278" s="4"/>
      <c r="E278" s="4"/>
      <c r="F278" s="4"/>
      <c r="G278" s="4"/>
      <c r="H278" s="4"/>
      <c r="I278" s="5">
        <f>318</f>
        <v>318</v>
      </c>
      <c r="J278" s="4"/>
      <c r="K278" s="5">
        <f>4943</f>
        <v>4943</v>
      </c>
      <c r="L278" s="4"/>
      <c r="M278" s="4"/>
      <c r="N278" s="5">
        <f t="shared" si="51"/>
        <v>30054</v>
      </c>
    </row>
    <row r="279" spans="1:14" x14ac:dyDescent="0.3">
      <c r="A279" s="3" t="s">
        <v>137</v>
      </c>
      <c r="B279" s="4"/>
      <c r="C279" s="5">
        <f>220.04</f>
        <v>220.04</v>
      </c>
      <c r="D279" s="5">
        <f>220.59</f>
        <v>220.59</v>
      </c>
      <c r="E279" s="4"/>
      <c r="F279" s="5">
        <f>201.71</f>
        <v>201.71</v>
      </c>
      <c r="G279" s="4"/>
      <c r="H279" s="5">
        <f>201.71</f>
        <v>201.71</v>
      </c>
      <c r="I279" s="4"/>
      <c r="J279" s="5">
        <f>201.71</f>
        <v>201.71</v>
      </c>
      <c r="K279" s="4"/>
      <c r="L279" s="5">
        <f>201.71</f>
        <v>201.71</v>
      </c>
      <c r="M279" s="4"/>
      <c r="N279" s="5">
        <f t="shared" si="51"/>
        <v>1247.47</v>
      </c>
    </row>
    <row r="280" spans="1:14" x14ac:dyDescent="0.3">
      <c r="A280" s="3" t="s">
        <v>138</v>
      </c>
      <c r="B280" s="5">
        <f>1020.13</f>
        <v>1020.13</v>
      </c>
      <c r="C280" s="5">
        <f>990.18</f>
        <v>990.18</v>
      </c>
      <c r="D280" s="5">
        <f>1027.7</f>
        <v>1027.7</v>
      </c>
      <c r="E280" s="5">
        <f>1138.8</f>
        <v>1138.8</v>
      </c>
      <c r="F280" s="5">
        <f>907.74</f>
        <v>907.74</v>
      </c>
      <c r="G280" s="4"/>
      <c r="H280" s="5">
        <f>2046.54</f>
        <v>2046.54</v>
      </c>
      <c r="I280" s="5">
        <f>17851.86</f>
        <v>17851.86</v>
      </c>
      <c r="J280" s="5">
        <f>1479.74</f>
        <v>1479.74</v>
      </c>
      <c r="K280" s="4"/>
      <c r="L280" s="5">
        <f>907.74</f>
        <v>907.74</v>
      </c>
      <c r="M280" s="4"/>
      <c r="N280" s="5">
        <f t="shared" si="51"/>
        <v>27370.430000000004</v>
      </c>
    </row>
    <row r="281" spans="1:14" x14ac:dyDescent="0.3">
      <c r="A281" s="3" t="s">
        <v>141</v>
      </c>
      <c r="B281" s="4"/>
      <c r="C281" s="5">
        <f>990.18</f>
        <v>990.18</v>
      </c>
      <c r="D281" s="5">
        <f>992.7</f>
        <v>992.7</v>
      </c>
      <c r="E281" s="4"/>
      <c r="F281" s="5">
        <f>907.74</f>
        <v>907.74</v>
      </c>
      <c r="G281" s="4"/>
      <c r="H281" s="5">
        <f>907.74</f>
        <v>907.74</v>
      </c>
      <c r="I281" s="4"/>
      <c r="J281" s="5">
        <f>907.74</f>
        <v>907.74</v>
      </c>
      <c r="K281" s="4"/>
      <c r="L281" s="5">
        <f>907.74</f>
        <v>907.74</v>
      </c>
      <c r="M281" s="4"/>
      <c r="N281" s="5">
        <f t="shared" si="51"/>
        <v>5613.8399999999992</v>
      </c>
    </row>
    <row r="282" spans="1:14" x14ac:dyDescent="0.3">
      <c r="A282" s="3" t="s">
        <v>194</v>
      </c>
      <c r="B282" s="6">
        <f t="shared" ref="B282:M282" si="67">(((B278)+(B279))+(B280))+(B281)</f>
        <v>25813.13</v>
      </c>
      <c r="C282" s="6">
        <f t="shared" si="67"/>
        <v>2200.4</v>
      </c>
      <c r="D282" s="6">
        <f t="shared" si="67"/>
        <v>2240.9899999999998</v>
      </c>
      <c r="E282" s="6">
        <f t="shared" si="67"/>
        <v>1138.8</v>
      </c>
      <c r="F282" s="6">
        <f t="shared" si="67"/>
        <v>2017.19</v>
      </c>
      <c r="G282" s="6">
        <f t="shared" si="67"/>
        <v>0</v>
      </c>
      <c r="H282" s="6">
        <f t="shared" si="67"/>
        <v>3155.99</v>
      </c>
      <c r="I282" s="6">
        <f t="shared" si="67"/>
        <v>18169.86</v>
      </c>
      <c r="J282" s="6">
        <f t="shared" si="67"/>
        <v>2589.19</v>
      </c>
      <c r="K282" s="6">
        <f t="shared" si="67"/>
        <v>4943</v>
      </c>
      <c r="L282" s="6">
        <f t="shared" si="67"/>
        <v>2017.19</v>
      </c>
      <c r="M282" s="6">
        <f t="shared" si="67"/>
        <v>0</v>
      </c>
      <c r="N282" s="6">
        <f t="shared" si="51"/>
        <v>64285.740000000005</v>
      </c>
    </row>
    <row r="283" spans="1:14" x14ac:dyDescent="0.3">
      <c r="A283" s="3" t="s">
        <v>195</v>
      </c>
      <c r="B283" s="5">
        <f>3041.5</f>
        <v>3041.5</v>
      </c>
      <c r="C283" s="5">
        <f>118.5</f>
        <v>118.5</v>
      </c>
      <c r="D283" s="4"/>
      <c r="E283" s="5">
        <f>513.5</f>
        <v>513.5</v>
      </c>
      <c r="F283" s="4"/>
      <c r="G283" s="4"/>
      <c r="H283" s="4"/>
      <c r="I283" s="4"/>
      <c r="J283" s="5">
        <f>1444</f>
        <v>1444</v>
      </c>
      <c r="K283" s="5">
        <f>750.5</f>
        <v>750.5</v>
      </c>
      <c r="L283" s="4"/>
      <c r="M283" s="5">
        <f>908.5</f>
        <v>908.5</v>
      </c>
      <c r="N283" s="5">
        <f t="shared" si="51"/>
        <v>6776.5</v>
      </c>
    </row>
    <row r="284" spans="1:14" x14ac:dyDescent="0.3">
      <c r="A284" s="3" t="s">
        <v>196</v>
      </c>
      <c r="B284" s="4"/>
      <c r="C284" s="4"/>
      <c r="D284" s="4"/>
      <c r="E284" s="4"/>
      <c r="F284" s="4"/>
      <c r="G284" s="4"/>
      <c r="H284" s="4"/>
      <c r="I284" s="5">
        <f>5834</f>
        <v>5834</v>
      </c>
      <c r="J284" s="4"/>
      <c r="K284" s="4"/>
      <c r="L284" s="4"/>
      <c r="M284" s="4"/>
      <c r="N284" s="5">
        <f t="shared" si="51"/>
        <v>5834</v>
      </c>
    </row>
    <row r="285" spans="1:14" x14ac:dyDescent="0.3">
      <c r="A285" s="3" t="s">
        <v>197</v>
      </c>
      <c r="B285" s="6">
        <f t="shared" ref="B285:M285" si="68">(B283)+(B284)</f>
        <v>3041.5</v>
      </c>
      <c r="C285" s="6">
        <f t="shared" si="68"/>
        <v>118.5</v>
      </c>
      <c r="D285" s="6">
        <f t="shared" si="68"/>
        <v>0</v>
      </c>
      <c r="E285" s="6">
        <f t="shared" si="68"/>
        <v>513.5</v>
      </c>
      <c r="F285" s="6">
        <f t="shared" si="68"/>
        <v>0</v>
      </c>
      <c r="G285" s="6">
        <f t="shared" si="68"/>
        <v>0</v>
      </c>
      <c r="H285" s="6">
        <f t="shared" si="68"/>
        <v>0</v>
      </c>
      <c r="I285" s="6">
        <f t="shared" si="68"/>
        <v>5834</v>
      </c>
      <c r="J285" s="6">
        <f t="shared" si="68"/>
        <v>1444</v>
      </c>
      <c r="K285" s="6">
        <f t="shared" si="68"/>
        <v>750.5</v>
      </c>
      <c r="L285" s="6">
        <f t="shared" si="68"/>
        <v>0</v>
      </c>
      <c r="M285" s="6">
        <f t="shared" si="68"/>
        <v>908.5</v>
      </c>
      <c r="N285" s="6">
        <f t="shared" si="51"/>
        <v>12610.5</v>
      </c>
    </row>
    <row r="286" spans="1:14" x14ac:dyDescent="0.3">
      <c r="A286" s="3" t="s">
        <v>198</v>
      </c>
      <c r="B286" s="5">
        <f>450</f>
        <v>450</v>
      </c>
      <c r="C286" s="4"/>
      <c r="D286" s="4"/>
      <c r="E286" s="4"/>
      <c r="F286" s="4"/>
      <c r="G286" s="4"/>
      <c r="H286" s="4"/>
      <c r="I286" s="5">
        <f>68.5</f>
        <v>68.5</v>
      </c>
      <c r="J286" s="5">
        <f>731</f>
        <v>731</v>
      </c>
      <c r="K286" s="4"/>
      <c r="L286" s="4"/>
      <c r="M286" s="4"/>
      <c r="N286" s="5">
        <f t="shared" si="51"/>
        <v>1249.5</v>
      </c>
    </row>
    <row r="287" spans="1:14" x14ac:dyDescent="0.3">
      <c r="A287" s="3" t="s">
        <v>199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>
        <f t="shared" si="51"/>
        <v>0</v>
      </c>
    </row>
    <row r="288" spans="1:14" x14ac:dyDescent="0.3">
      <c r="A288" s="3" t="s">
        <v>138</v>
      </c>
      <c r="B288" s="5">
        <f>306</f>
        <v>306</v>
      </c>
      <c r="C288" s="5">
        <f>306</f>
        <v>306</v>
      </c>
      <c r="D288" s="5">
        <f>306</f>
        <v>306</v>
      </c>
      <c r="E288" s="5">
        <f>306</f>
        <v>306</v>
      </c>
      <c r="F288" s="5">
        <f>343</f>
        <v>343</v>
      </c>
      <c r="G288" s="5">
        <f>306</f>
        <v>306</v>
      </c>
      <c r="H288" s="5">
        <f>306</f>
        <v>306</v>
      </c>
      <c r="I288" s="5">
        <f>306</f>
        <v>306</v>
      </c>
      <c r="J288" s="5">
        <f>306</f>
        <v>306</v>
      </c>
      <c r="K288" s="5">
        <f>306</f>
        <v>306</v>
      </c>
      <c r="L288" s="5">
        <f>306</f>
        <v>306</v>
      </c>
      <c r="M288" s="5">
        <f>305.92</f>
        <v>305.92</v>
      </c>
      <c r="N288" s="5">
        <f t="shared" si="51"/>
        <v>3708.92</v>
      </c>
    </row>
    <row r="289" spans="1:14" x14ac:dyDescent="0.3">
      <c r="A289" s="3" t="s">
        <v>200</v>
      </c>
      <c r="B289" s="6">
        <f t="shared" ref="B289:M289" si="69">(B287)+(B288)</f>
        <v>306</v>
      </c>
      <c r="C289" s="6">
        <f t="shared" si="69"/>
        <v>306</v>
      </c>
      <c r="D289" s="6">
        <f t="shared" si="69"/>
        <v>306</v>
      </c>
      <c r="E289" s="6">
        <f t="shared" si="69"/>
        <v>306</v>
      </c>
      <c r="F289" s="6">
        <f t="shared" si="69"/>
        <v>343</v>
      </c>
      <c r="G289" s="6">
        <f t="shared" si="69"/>
        <v>306</v>
      </c>
      <c r="H289" s="6">
        <f t="shared" si="69"/>
        <v>306</v>
      </c>
      <c r="I289" s="6">
        <f t="shared" si="69"/>
        <v>306</v>
      </c>
      <c r="J289" s="6">
        <f t="shared" si="69"/>
        <v>306</v>
      </c>
      <c r="K289" s="6">
        <f t="shared" si="69"/>
        <v>306</v>
      </c>
      <c r="L289" s="6">
        <f t="shared" si="69"/>
        <v>306</v>
      </c>
      <c r="M289" s="6">
        <f t="shared" si="69"/>
        <v>305.92</v>
      </c>
      <c r="N289" s="6">
        <f t="shared" si="51"/>
        <v>3708.92</v>
      </c>
    </row>
    <row r="290" spans="1:14" x14ac:dyDescent="0.3">
      <c r="A290" s="3" t="s">
        <v>201</v>
      </c>
      <c r="B290" s="5">
        <f>22765.44</f>
        <v>22765.439999999999</v>
      </c>
      <c r="C290" s="5">
        <f>5643.94</f>
        <v>5643.94</v>
      </c>
      <c r="D290" s="5">
        <f>11426.13</f>
        <v>11426.13</v>
      </c>
      <c r="E290" s="5">
        <f>4053.1</f>
        <v>4053.1</v>
      </c>
      <c r="F290" s="5">
        <f>3305.67</f>
        <v>3305.67</v>
      </c>
      <c r="G290" s="5">
        <f>16160.13</f>
        <v>16160.13</v>
      </c>
      <c r="H290" s="5">
        <f>11526.97</f>
        <v>11526.97</v>
      </c>
      <c r="I290" s="5">
        <f>5253.56</f>
        <v>5253.56</v>
      </c>
      <c r="J290" s="5">
        <f>4587.63</f>
        <v>4587.63</v>
      </c>
      <c r="K290" s="5">
        <f>8491.02</f>
        <v>8491.02</v>
      </c>
      <c r="L290" s="5">
        <f>5104.71</f>
        <v>5104.71</v>
      </c>
      <c r="M290" s="5">
        <f>8590.63</f>
        <v>8590.6299999999992</v>
      </c>
      <c r="N290" s="5">
        <f t="shared" si="51"/>
        <v>106908.93000000001</v>
      </c>
    </row>
    <row r="291" spans="1:14" x14ac:dyDescent="0.3">
      <c r="A291" s="3" t="s">
        <v>137</v>
      </c>
      <c r="B291" s="4"/>
      <c r="C291" s="4"/>
      <c r="D291" s="5">
        <f>76.7</f>
        <v>76.7</v>
      </c>
      <c r="E291" s="5">
        <f>113.35</f>
        <v>113.35</v>
      </c>
      <c r="F291" s="5">
        <f>113.35</f>
        <v>113.35</v>
      </c>
      <c r="G291" s="5">
        <f>198.35</f>
        <v>198.35</v>
      </c>
      <c r="H291" s="5">
        <f>38.35</f>
        <v>38.35</v>
      </c>
      <c r="I291" s="5">
        <f>38.35</f>
        <v>38.35</v>
      </c>
      <c r="J291" s="5">
        <f>38.35</f>
        <v>38.35</v>
      </c>
      <c r="K291" s="5">
        <f>38.35</f>
        <v>38.35</v>
      </c>
      <c r="L291" s="5">
        <f>68.35</f>
        <v>68.349999999999994</v>
      </c>
      <c r="M291" s="5">
        <f>38.35</f>
        <v>38.35</v>
      </c>
      <c r="N291" s="5">
        <f t="shared" si="51"/>
        <v>761.85000000000014</v>
      </c>
    </row>
    <row r="292" spans="1:14" x14ac:dyDescent="0.3">
      <c r="A292" s="3" t="s">
        <v>138</v>
      </c>
      <c r="B292" s="4"/>
      <c r="C292" s="4"/>
      <c r="D292" s="5">
        <f>320.63</f>
        <v>320.63</v>
      </c>
      <c r="E292" s="5">
        <f>92.7</f>
        <v>92.7</v>
      </c>
      <c r="F292" s="5">
        <f>38.35</f>
        <v>38.35</v>
      </c>
      <c r="G292" s="5">
        <f>374.35</f>
        <v>374.35</v>
      </c>
      <c r="H292" s="5">
        <f>108.7</f>
        <v>108.7</v>
      </c>
      <c r="I292" s="5">
        <f>54.35</f>
        <v>54.35</v>
      </c>
      <c r="J292" s="5">
        <f>54.35</f>
        <v>54.35</v>
      </c>
      <c r="K292" s="4"/>
      <c r="L292" s="5">
        <f>54.35</f>
        <v>54.35</v>
      </c>
      <c r="M292" s="5">
        <f>54.35</f>
        <v>54.35</v>
      </c>
      <c r="N292" s="5">
        <f t="shared" si="51"/>
        <v>1152.1299999999999</v>
      </c>
    </row>
    <row r="293" spans="1:14" x14ac:dyDescent="0.3">
      <c r="A293" s="3" t="s">
        <v>202</v>
      </c>
      <c r="B293" s="4"/>
      <c r="C293" s="4"/>
      <c r="D293" s="4"/>
      <c r="E293" s="4"/>
      <c r="F293" s="4"/>
      <c r="G293" s="4"/>
      <c r="H293" s="4"/>
      <c r="I293" s="5">
        <f>7393.55</f>
        <v>7393.55</v>
      </c>
      <c r="J293" s="5">
        <f>24955.65</f>
        <v>24955.65</v>
      </c>
      <c r="K293" s="5">
        <f>4604.99</f>
        <v>4604.99</v>
      </c>
      <c r="L293" s="5">
        <f>1170</f>
        <v>1170</v>
      </c>
      <c r="M293" s="5">
        <f>3500</f>
        <v>3500</v>
      </c>
      <c r="N293" s="5">
        <f t="shared" si="51"/>
        <v>41624.19</v>
      </c>
    </row>
    <row r="294" spans="1:14" x14ac:dyDescent="0.3">
      <c r="A294" s="3" t="s">
        <v>203</v>
      </c>
      <c r="B294" s="5">
        <f>50</f>
        <v>50</v>
      </c>
      <c r="C294" s="4"/>
      <c r="D294" s="4"/>
      <c r="E294" s="5">
        <f>7110</f>
        <v>7110</v>
      </c>
      <c r="F294" s="4"/>
      <c r="G294" s="4"/>
      <c r="H294" s="4"/>
      <c r="I294" s="4"/>
      <c r="J294" s="4"/>
      <c r="K294" s="4"/>
      <c r="L294" s="4"/>
      <c r="M294" s="4"/>
      <c r="N294" s="5">
        <f t="shared" si="51"/>
        <v>7160</v>
      </c>
    </row>
    <row r="295" spans="1:14" x14ac:dyDescent="0.3">
      <c r="A295" s="3" t="s">
        <v>139</v>
      </c>
      <c r="B295" s="5">
        <f>701.83</f>
        <v>701.83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>
        <f t="shared" si="51"/>
        <v>701.83</v>
      </c>
    </row>
    <row r="296" spans="1:14" x14ac:dyDescent="0.3">
      <c r="A296" s="3" t="s">
        <v>141</v>
      </c>
      <c r="B296" s="4"/>
      <c r="C296" s="5">
        <f>123.35</f>
        <v>123.35</v>
      </c>
      <c r="D296" s="5">
        <f>38.35</f>
        <v>38.35</v>
      </c>
      <c r="E296" s="5">
        <f>38.35</f>
        <v>38.35</v>
      </c>
      <c r="F296" s="5">
        <f>38.35</f>
        <v>38.35</v>
      </c>
      <c r="G296" s="5">
        <f>358.35</f>
        <v>358.35</v>
      </c>
      <c r="H296" s="5">
        <f>76.7</f>
        <v>76.7</v>
      </c>
      <c r="I296" s="5">
        <f>38.35</f>
        <v>38.35</v>
      </c>
      <c r="J296" s="5">
        <f>38.35</f>
        <v>38.35</v>
      </c>
      <c r="K296" s="5">
        <f>76.7</f>
        <v>76.7</v>
      </c>
      <c r="L296" s="5">
        <f>38.35</f>
        <v>38.35</v>
      </c>
      <c r="M296" s="5">
        <f>162.05</f>
        <v>162.05000000000001</v>
      </c>
      <c r="N296" s="5">
        <f t="shared" ref="N296:N319" si="70">(((((((((((B296)+(C296))+(D296))+(E296))+(F296))+(G296))+(H296))+(I296))+(J296))+(K296))+(L296))+(M296)</f>
        <v>1027.2500000000002</v>
      </c>
    </row>
    <row r="297" spans="1:14" x14ac:dyDescent="0.3">
      <c r="A297" s="3" t="s">
        <v>204</v>
      </c>
      <c r="B297" s="6">
        <f t="shared" ref="B297:M297" si="71">((((((B290)+(B291))+(B292))+(B293))+(B294))+(B295))+(B296)</f>
        <v>23517.27</v>
      </c>
      <c r="C297" s="6">
        <f t="shared" si="71"/>
        <v>5767.29</v>
      </c>
      <c r="D297" s="6">
        <f t="shared" si="71"/>
        <v>11861.81</v>
      </c>
      <c r="E297" s="6">
        <f t="shared" si="71"/>
        <v>11407.5</v>
      </c>
      <c r="F297" s="6">
        <f t="shared" si="71"/>
        <v>3495.72</v>
      </c>
      <c r="G297" s="6">
        <f t="shared" si="71"/>
        <v>17091.179999999997</v>
      </c>
      <c r="H297" s="6">
        <f t="shared" si="71"/>
        <v>11750.720000000001</v>
      </c>
      <c r="I297" s="6">
        <f t="shared" si="71"/>
        <v>12778.160000000002</v>
      </c>
      <c r="J297" s="6">
        <f t="shared" si="71"/>
        <v>29674.33</v>
      </c>
      <c r="K297" s="6">
        <f t="shared" si="71"/>
        <v>13211.060000000001</v>
      </c>
      <c r="L297" s="6">
        <f t="shared" si="71"/>
        <v>6435.7600000000011</v>
      </c>
      <c r="M297" s="6">
        <f t="shared" si="71"/>
        <v>12345.38</v>
      </c>
      <c r="N297" s="6">
        <f t="shared" si="70"/>
        <v>159336.18000000002</v>
      </c>
    </row>
    <row r="298" spans="1:14" x14ac:dyDescent="0.3">
      <c r="A298" s="3" t="s">
        <v>205</v>
      </c>
      <c r="B298" s="5">
        <f>13773.8</f>
        <v>13773.8</v>
      </c>
      <c r="C298" s="5">
        <f>9734.48</f>
        <v>9734.48</v>
      </c>
      <c r="D298" s="5">
        <f>9440.67</f>
        <v>9440.67</v>
      </c>
      <c r="E298" s="5">
        <f>9046.68</f>
        <v>9046.68</v>
      </c>
      <c r="F298" s="5">
        <f>7697.03</f>
        <v>7697.03</v>
      </c>
      <c r="G298" s="5">
        <f>7893.18</f>
        <v>7893.18</v>
      </c>
      <c r="H298" s="5">
        <f>7122.29</f>
        <v>7122.29</v>
      </c>
      <c r="I298" s="5">
        <f>3673.17</f>
        <v>3673.17</v>
      </c>
      <c r="J298" s="5">
        <f>7352.26</f>
        <v>7352.26</v>
      </c>
      <c r="K298" s="5">
        <f>5600.65</f>
        <v>5600.65</v>
      </c>
      <c r="L298" s="5">
        <f>7947.43</f>
        <v>7947.43</v>
      </c>
      <c r="M298" s="5">
        <f>11564.69</f>
        <v>11564.69</v>
      </c>
      <c r="N298" s="5">
        <f t="shared" si="70"/>
        <v>100846.32999999999</v>
      </c>
    </row>
    <row r="299" spans="1:14" x14ac:dyDescent="0.3">
      <c r="A299" s="3" t="s">
        <v>206</v>
      </c>
      <c r="B299" s="4"/>
      <c r="C299" s="5">
        <f>6054</f>
        <v>6054</v>
      </c>
      <c r="D299" s="4"/>
      <c r="E299" s="4"/>
      <c r="F299" s="5">
        <f>6317</f>
        <v>6317</v>
      </c>
      <c r="G299" s="4"/>
      <c r="H299" s="4"/>
      <c r="I299" s="5">
        <f>4431.06</f>
        <v>4431.0600000000004</v>
      </c>
      <c r="J299" s="5">
        <f>176.83</f>
        <v>176.83</v>
      </c>
      <c r="K299" s="4"/>
      <c r="L299" s="5">
        <f>6684</f>
        <v>6684</v>
      </c>
      <c r="M299" s="4"/>
      <c r="N299" s="5">
        <f t="shared" si="70"/>
        <v>23662.890000000003</v>
      </c>
    </row>
    <row r="300" spans="1:14" x14ac:dyDescent="0.3">
      <c r="A300" s="3" t="s">
        <v>207</v>
      </c>
      <c r="B300" s="5">
        <f>29.99</f>
        <v>29.99</v>
      </c>
      <c r="C300" s="5">
        <f>29.99</f>
        <v>29.99</v>
      </c>
      <c r="D300" s="5">
        <f>29.99</f>
        <v>29.99</v>
      </c>
      <c r="E300" s="5">
        <f>69.98</f>
        <v>69.98</v>
      </c>
      <c r="F300" s="4"/>
      <c r="G300" s="5">
        <f>29.99</f>
        <v>29.99</v>
      </c>
      <c r="H300" s="5">
        <f>604.99</f>
        <v>604.99</v>
      </c>
      <c r="I300" s="5">
        <f>29.99</f>
        <v>29.99</v>
      </c>
      <c r="J300" s="5">
        <f>29.99</f>
        <v>29.99</v>
      </c>
      <c r="K300" s="5">
        <f>29.99</f>
        <v>29.99</v>
      </c>
      <c r="L300" s="5">
        <f>29.99</f>
        <v>29.99</v>
      </c>
      <c r="M300" s="5">
        <f>29.99</f>
        <v>29.99</v>
      </c>
      <c r="N300" s="5">
        <f t="shared" si="70"/>
        <v>944.88000000000011</v>
      </c>
    </row>
    <row r="301" spans="1:14" x14ac:dyDescent="0.3">
      <c r="A301" s="3" t="s">
        <v>208</v>
      </c>
      <c r="B301" s="5">
        <f>1080.56</f>
        <v>1080.56</v>
      </c>
      <c r="C301" s="5">
        <f>982.62</f>
        <v>982.62</v>
      </c>
      <c r="D301" s="5">
        <f>940.95</f>
        <v>940.95</v>
      </c>
      <c r="E301" s="5">
        <f>1181.83</f>
        <v>1181.83</v>
      </c>
      <c r="F301" s="5">
        <f>644.35</f>
        <v>644.35</v>
      </c>
      <c r="G301" s="5">
        <f>906.7</f>
        <v>906.7</v>
      </c>
      <c r="H301" s="5">
        <f>315.99</f>
        <v>315.99</v>
      </c>
      <c r="I301" s="5">
        <f>623.19</f>
        <v>623.19000000000005</v>
      </c>
      <c r="J301" s="5">
        <f>1518.92</f>
        <v>1518.92</v>
      </c>
      <c r="K301" s="5">
        <f>833.42</f>
        <v>833.42</v>
      </c>
      <c r="L301" s="5">
        <f>915.99</f>
        <v>915.99</v>
      </c>
      <c r="M301" s="5">
        <f>1067.53</f>
        <v>1067.53</v>
      </c>
      <c r="N301" s="5">
        <f t="shared" si="70"/>
        <v>11012.050000000001</v>
      </c>
    </row>
    <row r="302" spans="1:14" x14ac:dyDescent="0.3">
      <c r="A302" s="3" t="s">
        <v>137</v>
      </c>
      <c r="B302" s="4"/>
      <c r="C302" s="4"/>
      <c r="D302" s="4"/>
      <c r="E302" s="5">
        <f>3.75</f>
        <v>3.75</v>
      </c>
      <c r="F302" s="4"/>
      <c r="G302" s="4"/>
      <c r="H302" s="4"/>
      <c r="I302" s="4"/>
      <c r="J302" s="4"/>
      <c r="K302" s="4"/>
      <c r="L302" s="4"/>
      <c r="M302" s="4"/>
      <c r="N302" s="5">
        <f t="shared" si="70"/>
        <v>3.75</v>
      </c>
    </row>
    <row r="303" spans="1:14" x14ac:dyDescent="0.3">
      <c r="A303" s="3" t="s">
        <v>138</v>
      </c>
      <c r="B303" s="4"/>
      <c r="C303" s="5">
        <f>225</f>
        <v>225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>
        <f t="shared" si="70"/>
        <v>225</v>
      </c>
    </row>
    <row r="304" spans="1:14" x14ac:dyDescent="0.3">
      <c r="A304" s="3" t="s">
        <v>141</v>
      </c>
      <c r="B304" s="4"/>
      <c r="C304" s="4"/>
      <c r="D304" s="4"/>
      <c r="E304" s="4"/>
      <c r="F304" s="4"/>
      <c r="G304" s="4"/>
      <c r="H304" s="5">
        <f>320.99</f>
        <v>320.99</v>
      </c>
      <c r="I304" s="4"/>
      <c r="J304" s="4"/>
      <c r="K304" s="4"/>
      <c r="L304" s="4"/>
      <c r="M304" s="4"/>
      <c r="N304" s="5">
        <f t="shared" si="70"/>
        <v>320.99</v>
      </c>
    </row>
    <row r="305" spans="1:14" x14ac:dyDescent="0.3">
      <c r="A305" s="3" t="s">
        <v>209</v>
      </c>
      <c r="B305" s="6">
        <f t="shared" ref="B305:M305" si="72">(((B301)+(B302))+(B303))+(B304)</f>
        <v>1080.56</v>
      </c>
      <c r="C305" s="6">
        <f t="shared" si="72"/>
        <v>1207.6199999999999</v>
      </c>
      <c r="D305" s="6">
        <f t="shared" si="72"/>
        <v>940.95</v>
      </c>
      <c r="E305" s="6">
        <f t="shared" si="72"/>
        <v>1185.58</v>
      </c>
      <c r="F305" s="6">
        <f t="shared" si="72"/>
        <v>644.35</v>
      </c>
      <c r="G305" s="6">
        <f t="shared" si="72"/>
        <v>906.7</v>
      </c>
      <c r="H305" s="6">
        <f t="shared" si="72"/>
        <v>636.98</v>
      </c>
      <c r="I305" s="6">
        <f t="shared" si="72"/>
        <v>623.19000000000005</v>
      </c>
      <c r="J305" s="6">
        <f t="shared" si="72"/>
        <v>1518.92</v>
      </c>
      <c r="K305" s="6">
        <f t="shared" si="72"/>
        <v>833.42</v>
      </c>
      <c r="L305" s="6">
        <f t="shared" si="72"/>
        <v>915.99</v>
      </c>
      <c r="M305" s="6">
        <f t="shared" si="72"/>
        <v>1067.53</v>
      </c>
      <c r="N305" s="6">
        <f t="shared" si="70"/>
        <v>11561.79</v>
      </c>
    </row>
    <row r="306" spans="1:14" x14ac:dyDescent="0.3">
      <c r="A306" s="3" t="s">
        <v>210</v>
      </c>
      <c r="B306" s="4"/>
      <c r="C306" s="4"/>
      <c r="D306" s="4"/>
      <c r="E306" s="4"/>
      <c r="F306" s="4"/>
      <c r="G306" s="4"/>
      <c r="H306" s="4"/>
      <c r="I306" s="4"/>
      <c r="J306" s="5">
        <f>346.83</f>
        <v>346.83</v>
      </c>
      <c r="K306" s="4"/>
      <c r="L306" s="4"/>
      <c r="M306" s="4"/>
      <c r="N306" s="5">
        <f t="shared" si="70"/>
        <v>346.83</v>
      </c>
    </row>
    <row r="307" spans="1:14" x14ac:dyDescent="0.3">
      <c r="A307" s="3" t="s">
        <v>137</v>
      </c>
      <c r="B307" s="5">
        <f>436.37</f>
        <v>436.37</v>
      </c>
      <c r="C307" s="5">
        <f>436.37</f>
        <v>436.37</v>
      </c>
      <c r="D307" s="5">
        <f>436.37</f>
        <v>436.37</v>
      </c>
      <c r="E307" s="5">
        <f>871.58</f>
        <v>871.58</v>
      </c>
      <c r="F307" s="5">
        <f>435.79</f>
        <v>435.79</v>
      </c>
      <c r="G307" s="5">
        <f>435.79</f>
        <v>435.79</v>
      </c>
      <c r="H307" s="5">
        <f>435.52</f>
        <v>435.52</v>
      </c>
      <c r="I307" s="4"/>
      <c r="J307" s="4"/>
      <c r="K307" s="5">
        <f>871.04</f>
        <v>871.04</v>
      </c>
      <c r="L307" s="5">
        <f>436.69</f>
        <v>436.69</v>
      </c>
      <c r="M307" s="5">
        <f>437.26</f>
        <v>437.26</v>
      </c>
      <c r="N307" s="5">
        <f t="shared" si="70"/>
        <v>5232.78</v>
      </c>
    </row>
    <row r="308" spans="1:14" x14ac:dyDescent="0.3">
      <c r="A308" s="3" t="s">
        <v>138</v>
      </c>
      <c r="B308" s="5">
        <f>2047.57</f>
        <v>2047.57</v>
      </c>
      <c r="C308" s="5">
        <f>1340.03</f>
        <v>1340.03</v>
      </c>
      <c r="D308" s="5">
        <f>1392.75</f>
        <v>1392.75</v>
      </c>
      <c r="E308" s="5">
        <f>1894.85</f>
        <v>1894.85</v>
      </c>
      <c r="F308" s="5">
        <f>83.06</f>
        <v>83.06</v>
      </c>
      <c r="G308" s="5">
        <f>3745.36</f>
        <v>3745.36</v>
      </c>
      <c r="H308" s="5">
        <f>631.25</f>
        <v>631.25</v>
      </c>
      <c r="I308" s="5">
        <f>668.88</f>
        <v>668.88</v>
      </c>
      <c r="J308" s="5">
        <f>635.39</f>
        <v>635.39</v>
      </c>
      <c r="K308" s="5">
        <f>618.1</f>
        <v>618.1</v>
      </c>
      <c r="L308" s="5">
        <f>617.72</f>
        <v>617.72</v>
      </c>
      <c r="M308" s="5">
        <f>616.48</f>
        <v>616.48</v>
      </c>
      <c r="N308" s="5">
        <f t="shared" si="70"/>
        <v>14291.439999999999</v>
      </c>
    </row>
    <row r="309" spans="1:14" x14ac:dyDescent="0.3">
      <c r="A309" s="3" t="s">
        <v>139</v>
      </c>
      <c r="B309" s="5">
        <f>89</f>
        <v>89</v>
      </c>
      <c r="C309" s="5">
        <f>89</f>
        <v>89</v>
      </c>
      <c r="D309" s="5">
        <f>89</f>
        <v>89</v>
      </c>
      <c r="E309" s="5">
        <f>178</f>
        <v>178</v>
      </c>
      <c r="F309" s="4"/>
      <c r="G309" s="5">
        <f>89</f>
        <v>89</v>
      </c>
      <c r="H309" s="5">
        <f>89</f>
        <v>89</v>
      </c>
      <c r="I309" s="5">
        <f>89</f>
        <v>89</v>
      </c>
      <c r="J309" s="5">
        <f>89</f>
        <v>89</v>
      </c>
      <c r="K309" s="5">
        <f>89</f>
        <v>89</v>
      </c>
      <c r="L309" s="5">
        <f>89</f>
        <v>89</v>
      </c>
      <c r="M309" s="5">
        <f>89</f>
        <v>89</v>
      </c>
      <c r="N309" s="5">
        <f t="shared" si="70"/>
        <v>1068</v>
      </c>
    </row>
    <row r="310" spans="1:14" x14ac:dyDescent="0.3">
      <c r="A310" s="3" t="s">
        <v>141</v>
      </c>
      <c r="B310" s="5">
        <f>1958.03</f>
        <v>1958.03</v>
      </c>
      <c r="C310" s="5">
        <f>1249.76</f>
        <v>1249.76</v>
      </c>
      <c r="D310" s="5">
        <f>1300.51</f>
        <v>1300.51</v>
      </c>
      <c r="E310" s="5">
        <f>1717.45</f>
        <v>1717.45</v>
      </c>
      <c r="F310" s="5">
        <f>83.06</f>
        <v>83.06</v>
      </c>
      <c r="G310" s="5">
        <f>3661.08</f>
        <v>3661.08</v>
      </c>
      <c r="H310" s="5">
        <f>547.6</f>
        <v>547.6</v>
      </c>
      <c r="I310" s="5">
        <f>588.97</f>
        <v>588.97</v>
      </c>
      <c r="J310" s="5">
        <f>547.44</f>
        <v>547.44000000000005</v>
      </c>
      <c r="K310" s="5">
        <f>535.14</f>
        <v>535.14</v>
      </c>
      <c r="L310" s="5">
        <f>534.35</f>
        <v>534.35</v>
      </c>
      <c r="M310" s="5">
        <f>534.31</f>
        <v>534.30999999999995</v>
      </c>
      <c r="N310" s="5">
        <f t="shared" si="70"/>
        <v>13257.699999999999</v>
      </c>
    </row>
    <row r="311" spans="1:14" x14ac:dyDescent="0.3">
      <c r="A311" s="3" t="s">
        <v>211</v>
      </c>
      <c r="B311" s="6">
        <f t="shared" ref="B311:M311" si="73">((((B306)+(B307))+(B308))+(B309))+(B310)</f>
        <v>4530.97</v>
      </c>
      <c r="C311" s="6">
        <f t="shared" si="73"/>
        <v>3115.16</v>
      </c>
      <c r="D311" s="6">
        <f t="shared" si="73"/>
        <v>3218.63</v>
      </c>
      <c r="E311" s="6">
        <f t="shared" si="73"/>
        <v>4661.88</v>
      </c>
      <c r="F311" s="6">
        <f t="shared" si="73"/>
        <v>601.91000000000008</v>
      </c>
      <c r="G311" s="6">
        <f t="shared" si="73"/>
        <v>7931.2300000000005</v>
      </c>
      <c r="H311" s="6">
        <f t="shared" si="73"/>
        <v>1703.37</v>
      </c>
      <c r="I311" s="6">
        <f t="shared" si="73"/>
        <v>1346.85</v>
      </c>
      <c r="J311" s="6">
        <f t="shared" si="73"/>
        <v>1618.66</v>
      </c>
      <c r="K311" s="6">
        <f t="shared" si="73"/>
        <v>2113.2799999999997</v>
      </c>
      <c r="L311" s="6">
        <f t="shared" si="73"/>
        <v>1677.7600000000002</v>
      </c>
      <c r="M311" s="6">
        <f t="shared" si="73"/>
        <v>1677.05</v>
      </c>
      <c r="N311" s="6">
        <f t="shared" si="70"/>
        <v>34196.75</v>
      </c>
    </row>
    <row r="312" spans="1:14" x14ac:dyDescent="0.3">
      <c r="A312" s="3" t="s">
        <v>212</v>
      </c>
      <c r="B312" s="6">
        <f t="shared" ref="B312:M312" si="74">(((((((((((((((B255)+(B260))+(B263))+(B264))+(B274))+(B277))+(B282))+(B285))+(B286))+(B289))+(B297))+(B298))+(B299))+(B300))+(B305))+(B311)</f>
        <v>109834.54000000001</v>
      </c>
      <c r="C312" s="6">
        <f t="shared" si="74"/>
        <v>73012.290000000008</v>
      </c>
      <c r="D312" s="6">
        <f t="shared" si="74"/>
        <v>64191.539999999986</v>
      </c>
      <c r="E312" s="6">
        <f t="shared" si="74"/>
        <v>82505.47</v>
      </c>
      <c r="F312" s="6">
        <f t="shared" si="74"/>
        <v>51109.759999999995</v>
      </c>
      <c r="G312" s="6">
        <f t="shared" si="74"/>
        <v>84701.069999999992</v>
      </c>
      <c r="H312" s="6">
        <f t="shared" si="74"/>
        <v>74844.489999999991</v>
      </c>
      <c r="I312" s="6">
        <f t="shared" si="74"/>
        <v>83406.170000000013</v>
      </c>
      <c r="J312" s="6">
        <f t="shared" si="74"/>
        <v>83088.19</v>
      </c>
      <c r="K312" s="6">
        <f t="shared" si="74"/>
        <v>67746.2</v>
      </c>
      <c r="L312" s="6">
        <f t="shared" si="74"/>
        <v>55947.439999999995</v>
      </c>
      <c r="M312" s="6">
        <f t="shared" si="74"/>
        <v>52410.61</v>
      </c>
      <c r="N312" s="6">
        <f t="shared" si="70"/>
        <v>882797.7699999999</v>
      </c>
    </row>
    <row r="313" spans="1:14" x14ac:dyDescent="0.3">
      <c r="A313" s="3" t="s">
        <v>213</v>
      </c>
      <c r="B313" s="5">
        <f>4754.33</f>
        <v>4754.33</v>
      </c>
      <c r="C313" s="5">
        <f>3834.01</f>
        <v>3834.01</v>
      </c>
      <c r="D313" s="5">
        <f>320.45</f>
        <v>320.45</v>
      </c>
      <c r="E313" s="5">
        <f>455.07</f>
        <v>455.07</v>
      </c>
      <c r="F313" s="5">
        <f>5258.92</f>
        <v>5258.92</v>
      </c>
      <c r="G313" s="5">
        <f>539.98</f>
        <v>539.98</v>
      </c>
      <c r="H313" s="5">
        <f>2505.22</f>
        <v>2505.2199999999998</v>
      </c>
      <c r="I313" s="4"/>
      <c r="J313" s="5">
        <f>1269.24</f>
        <v>1269.24</v>
      </c>
      <c r="K313" s="5">
        <f>1573.28</f>
        <v>1573.28</v>
      </c>
      <c r="L313" s="5">
        <f>186.72</f>
        <v>186.72</v>
      </c>
      <c r="M313" s="5">
        <f>6750</f>
        <v>6750</v>
      </c>
      <c r="N313" s="5">
        <f t="shared" si="70"/>
        <v>27447.22</v>
      </c>
    </row>
    <row r="314" spans="1:14" x14ac:dyDescent="0.3">
      <c r="A314" s="3" t="s">
        <v>214</v>
      </c>
      <c r="B314" s="4"/>
      <c r="C314" s="4"/>
      <c r="D314" s="4"/>
      <c r="E314" s="4"/>
      <c r="F314" s="4"/>
      <c r="G314" s="4"/>
      <c r="H314" s="4"/>
      <c r="I314" s="4"/>
      <c r="J314" s="5">
        <f>270.06</f>
        <v>270.06</v>
      </c>
      <c r="K314" s="5">
        <f>6</f>
        <v>6</v>
      </c>
      <c r="L314" s="5">
        <f>100.05</f>
        <v>100.05</v>
      </c>
      <c r="M314" s="4"/>
      <c r="N314" s="5">
        <f t="shared" si="70"/>
        <v>376.11</v>
      </c>
    </row>
    <row r="315" spans="1:14" x14ac:dyDescent="0.3">
      <c r="A315" s="3" t="s">
        <v>215</v>
      </c>
      <c r="B315" s="6">
        <f t="shared" ref="B315:M315" si="75">(B313)+(B314)</f>
        <v>4754.33</v>
      </c>
      <c r="C315" s="6">
        <f t="shared" si="75"/>
        <v>3834.01</v>
      </c>
      <c r="D315" s="6">
        <f t="shared" si="75"/>
        <v>320.45</v>
      </c>
      <c r="E315" s="6">
        <f t="shared" si="75"/>
        <v>455.07</v>
      </c>
      <c r="F315" s="6">
        <f t="shared" si="75"/>
        <v>5258.92</v>
      </c>
      <c r="G315" s="6">
        <f t="shared" si="75"/>
        <v>539.98</v>
      </c>
      <c r="H315" s="6">
        <f t="shared" si="75"/>
        <v>2505.2199999999998</v>
      </c>
      <c r="I315" s="6">
        <f t="shared" si="75"/>
        <v>0</v>
      </c>
      <c r="J315" s="6">
        <f t="shared" si="75"/>
        <v>1539.3</v>
      </c>
      <c r="K315" s="6">
        <f t="shared" si="75"/>
        <v>1579.28</v>
      </c>
      <c r="L315" s="6">
        <f t="shared" si="75"/>
        <v>286.77</v>
      </c>
      <c r="M315" s="6">
        <f t="shared" si="75"/>
        <v>6750</v>
      </c>
      <c r="N315" s="6">
        <f t="shared" si="70"/>
        <v>27823.329999999998</v>
      </c>
    </row>
    <row r="316" spans="1:14" x14ac:dyDescent="0.3">
      <c r="A316" s="3" t="s">
        <v>216</v>
      </c>
      <c r="B316" s="4"/>
      <c r="C316" s="4"/>
      <c r="D316" s="4"/>
      <c r="E316" s="4"/>
      <c r="F316" s="4"/>
      <c r="G316" s="5">
        <f>494.44</f>
        <v>494.44</v>
      </c>
      <c r="H316" s="4"/>
      <c r="I316" s="4"/>
      <c r="J316" s="4"/>
      <c r="K316" s="4"/>
      <c r="L316" s="4"/>
      <c r="M316" s="4"/>
      <c r="N316" s="5">
        <f t="shared" si="70"/>
        <v>494.44</v>
      </c>
    </row>
    <row r="317" spans="1:14" x14ac:dyDescent="0.3">
      <c r="A317" s="3" t="s">
        <v>217</v>
      </c>
      <c r="B317" s="5">
        <f>6411.82</f>
        <v>6411.82</v>
      </c>
      <c r="C317" s="5">
        <f>1069.34</f>
        <v>1069.3399999999999</v>
      </c>
      <c r="D317" s="5">
        <f>8946.09</f>
        <v>8946.09</v>
      </c>
      <c r="E317" s="5">
        <f>9926.5</f>
        <v>9926.5</v>
      </c>
      <c r="F317" s="4"/>
      <c r="G317" s="5">
        <f>10814.59</f>
        <v>10814.59</v>
      </c>
      <c r="H317" s="4"/>
      <c r="I317" s="5">
        <f>9482</f>
        <v>9482</v>
      </c>
      <c r="J317" s="5">
        <f>13351.6</f>
        <v>13351.6</v>
      </c>
      <c r="K317" s="4"/>
      <c r="L317" s="5">
        <f>7611.56</f>
        <v>7611.56</v>
      </c>
      <c r="M317" s="4"/>
      <c r="N317" s="5">
        <f t="shared" si="70"/>
        <v>67613.5</v>
      </c>
    </row>
    <row r="318" spans="1:14" x14ac:dyDescent="0.3">
      <c r="A318" s="3" t="s">
        <v>218</v>
      </c>
      <c r="B318" s="6">
        <f t="shared" ref="B318:M318" si="76">((((((B98)+(B183))+(B254))+(B312))+(B315))+(B316))+(B317)</f>
        <v>695584.54999999993</v>
      </c>
      <c r="C318" s="6">
        <f t="shared" si="76"/>
        <v>548265.56999999995</v>
      </c>
      <c r="D318" s="6">
        <f t="shared" si="76"/>
        <v>622878.80999999994</v>
      </c>
      <c r="E318" s="6">
        <f t="shared" si="76"/>
        <v>626975.00999999989</v>
      </c>
      <c r="F318" s="6">
        <f t="shared" si="76"/>
        <v>678941.94000000006</v>
      </c>
      <c r="G318" s="6">
        <f t="shared" si="76"/>
        <v>640146.30999999982</v>
      </c>
      <c r="H318" s="6">
        <f t="shared" si="76"/>
        <v>640981.30999999994</v>
      </c>
      <c r="I318" s="6">
        <f t="shared" si="76"/>
        <v>718713.7300000001</v>
      </c>
      <c r="J318" s="6">
        <f t="shared" si="76"/>
        <v>686247.75999999989</v>
      </c>
      <c r="K318" s="6">
        <f t="shared" si="76"/>
        <v>737438.11</v>
      </c>
      <c r="L318" s="6">
        <f t="shared" si="76"/>
        <v>718927.48</v>
      </c>
      <c r="M318" s="6">
        <f t="shared" si="76"/>
        <v>632979.71</v>
      </c>
      <c r="N318" s="6">
        <f t="shared" si="70"/>
        <v>7948080.29</v>
      </c>
    </row>
    <row r="319" spans="1:14" x14ac:dyDescent="0.3">
      <c r="A319" s="3" t="s">
        <v>219</v>
      </c>
      <c r="B319" s="6">
        <f t="shared" ref="B319:M319" si="77">(B38)-(B318)</f>
        <v>90937.640000000363</v>
      </c>
      <c r="C319" s="6">
        <f t="shared" si="77"/>
        <v>140356.39000000013</v>
      </c>
      <c r="D319" s="6">
        <f t="shared" si="77"/>
        <v>213964.38000000012</v>
      </c>
      <c r="E319" s="6">
        <f t="shared" si="77"/>
        <v>232038.23000000021</v>
      </c>
      <c r="F319" s="6">
        <f t="shared" si="77"/>
        <v>266019.88</v>
      </c>
      <c r="G319" s="6">
        <f t="shared" si="77"/>
        <v>199110.02000000037</v>
      </c>
      <c r="H319" s="6">
        <f t="shared" si="77"/>
        <v>217602.68000000017</v>
      </c>
      <c r="I319" s="6">
        <f t="shared" si="77"/>
        <v>212321.77999999991</v>
      </c>
      <c r="J319" s="6">
        <f t="shared" si="77"/>
        <v>142854.92000000027</v>
      </c>
      <c r="K319" s="6">
        <f t="shared" si="77"/>
        <v>290257.30000000005</v>
      </c>
      <c r="L319" s="6">
        <f t="shared" si="77"/>
        <v>144651.51</v>
      </c>
      <c r="M319" s="6">
        <f t="shared" si="77"/>
        <v>189720.16000000003</v>
      </c>
      <c r="N319" s="6">
        <f t="shared" si="70"/>
        <v>2339834.890000002</v>
      </c>
    </row>
    <row r="320" spans="1:14" x14ac:dyDescent="0.3">
      <c r="A320" s="3" t="s">
        <v>220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x14ac:dyDescent="0.3">
      <c r="A321" s="3" t="s">
        <v>221</v>
      </c>
      <c r="B321" s="5">
        <f>9.14</f>
        <v>9.14</v>
      </c>
      <c r="C321" s="5">
        <f>10.22</f>
        <v>10.220000000000001</v>
      </c>
      <c r="D321" s="5">
        <f>16.53</f>
        <v>16.53</v>
      </c>
      <c r="E321" s="5">
        <f>9.28</f>
        <v>9.2799999999999994</v>
      </c>
      <c r="F321" s="5">
        <f>5.58</f>
        <v>5.58</v>
      </c>
      <c r="G321" s="5">
        <f>15.98</f>
        <v>15.98</v>
      </c>
      <c r="H321" s="5">
        <f>17.64</f>
        <v>17.64</v>
      </c>
      <c r="I321" s="5">
        <f>15.99</f>
        <v>15.99</v>
      </c>
      <c r="J321" s="4"/>
      <c r="K321" s="4"/>
      <c r="L321" s="4"/>
      <c r="M321" s="5">
        <f>12.33</f>
        <v>12.33</v>
      </c>
      <c r="N321" s="5">
        <f>(((((((((((B321)+(C321))+(D321))+(E321))+(F321))+(G321))+(H321))+(I321))+(J321))+(K321))+(L321))+(M321)</f>
        <v>112.69</v>
      </c>
    </row>
    <row r="322" spans="1:14" x14ac:dyDescent="0.3">
      <c r="A322" s="3" t="s">
        <v>222</v>
      </c>
      <c r="B322" s="6">
        <f t="shared" ref="B322:M322" si="78">B321</f>
        <v>9.14</v>
      </c>
      <c r="C322" s="6">
        <f t="shared" si="78"/>
        <v>10.220000000000001</v>
      </c>
      <c r="D322" s="6">
        <f t="shared" si="78"/>
        <v>16.53</v>
      </c>
      <c r="E322" s="6">
        <f t="shared" si="78"/>
        <v>9.2799999999999994</v>
      </c>
      <c r="F322" s="6">
        <f t="shared" si="78"/>
        <v>5.58</v>
      </c>
      <c r="G322" s="6">
        <f t="shared" si="78"/>
        <v>15.98</v>
      </c>
      <c r="H322" s="6">
        <f t="shared" si="78"/>
        <v>17.64</v>
      </c>
      <c r="I322" s="6">
        <f t="shared" si="78"/>
        <v>15.99</v>
      </c>
      <c r="J322" s="6">
        <f t="shared" si="78"/>
        <v>0</v>
      </c>
      <c r="K322" s="6">
        <f t="shared" si="78"/>
        <v>0</v>
      </c>
      <c r="L322" s="6">
        <f t="shared" si="78"/>
        <v>0</v>
      </c>
      <c r="M322" s="6">
        <f t="shared" si="78"/>
        <v>12.33</v>
      </c>
      <c r="N322" s="6">
        <f>(((((((((((B322)+(C322))+(D322))+(E322))+(F322))+(G322))+(H322))+(I322))+(J322))+(K322))+(L322))+(M322)</f>
        <v>112.69</v>
      </c>
    </row>
    <row r="323" spans="1:14" x14ac:dyDescent="0.3">
      <c r="A323" s="3" t="s">
        <v>223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x14ac:dyDescent="0.3">
      <c r="A324" s="3" t="s">
        <v>224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>
        <f t="shared" ref="N324:N365" si="79">(((((((((((B324)+(C324))+(D324))+(E324))+(F324))+(G324))+(H324))+(I324))+(J324))+(K324))+(L324))+(M324)</f>
        <v>0</v>
      </c>
    </row>
    <row r="325" spans="1:14" x14ac:dyDescent="0.3">
      <c r="A325" s="3" t="s">
        <v>225</v>
      </c>
      <c r="B325" s="4"/>
      <c r="C325" s="4"/>
      <c r="D325" s="4"/>
      <c r="E325" s="4"/>
      <c r="F325" s="4"/>
      <c r="G325" s="4"/>
      <c r="H325" s="4"/>
      <c r="I325" s="5">
        <f>9009.36</f>
        <v>9009.36</v>
      </c>
      <c r="J325" s="4"/>
      <c r="K325" s="4"/>
      <c r="L325" s="4"/>
      <c r="M325" s="4"/>
      <c r="N325" s="5">
        <f t="shared" si="79"/>
        <v>9009.36</v>
      </c>
    </row>
    <row r="326" spans="1:14" x14ac:dyDescent="0.3">
      <c r="A326" s="3" t="s">
        <v>226</v>
      </c>
      <c r="B326" s="5">
        <f>250</f>
        <v>250</v>
      </c>
      <c r="C326" s="5">
        <f>25</f>
        <v>25</v>
      </c>
      <c r="D326" s="5">
        <f>495</f>
        <v>495</v>
      </c>
      <c r="E326" s="5">
        <f>356.56</f>
        <v>356.56</v>
      </c>
      <c r="F326" s="4"/>
      <c r="G326" s="4"/>
      <c r="H326" s="4"/>
      <c r="I326" s="5">
        <f>1200</f>
        <v>1200</v>
      </c>
      <c r="J326" s="4"/>
      <c r="K326" s="5">
        <f>785</f>
        <v>785</v>
      </c>
      <c r="L326" s="5">
        <f>225</f>
        <v>225</v>
      </c>
      <c r="M326" s="4"/>
      <c r="N326" s="5">
        <f t="shared" si="79"/>
        <v>3336.56</v>
      </c>
    </row>
    <row r="327" spans="1:14" x14ac:dyDescent="0.3">
      <c r="A327" s="3" t="s">
        <v>227</v>
      </c>
      <c r="B327" s="5">
        <f>745</f>
        <v>745</v>
      </c>
      <c r="C327" s="5">
        <f>225</f>
        <v>225</v>
      </c>
      <c r="D327" s="5">
        <f>975</f>
        <v>975</v>
      </c>
      <c r="E327" s="4"/>
      <c r="F327" s="4"/>
      <c r="G327" s="4"/>
      <c r="H327" s="5">
        <f>358.07</f>
        <v>358.07</v>
      </c>
      <c r="I327" s="5">
        <f>350</f>
        <v>350</v>
      </c>
      <c r="J327" s="4"/>
      <c r="K327" s="5">
        <f>1210</f>
        <v>1210</v>
      </c>
      <c r="L327" s="5">
        <f>495</f>
        <v>495</v>
      </c>
      <c r="M327" s="5">
        <f>975</f>
        <v>975</v>
      </c>
      <c r="N327" s="5">
        <f t="shared" si="79"/>
        <v>5333.07</v>
      </c>
    </row>
    <row r="328" spans="1:14" x14ac:dyDescent="0.3">
      <c r="A328" s="3" t="s">
        <v>228</v>
      </c>
      <c r="B328" s="5">
        <f>250</f>
        <v>250</v>
      </c>
      <c r="C328" s="5">
        <f>25</f>
        <v>25</v>
      </c>
      <c r="D328" s="4"/>
      <c r="E328" s="5">
        <f>48.06</f>
        <v>48.06</v>
      </c>
      <c r="F328" s="4"/>
      <c r="G328" s="5">
        <f>200</f>
        <v>200</v>
      </c>
      <c r="H328" s="4"/>
      <c r="I328" s="5">
        <f>658.5</f>
        <v>658.5</v>
      </c>
      <c r="J328" s="4"/>
      <c r="K328" s="5">
        <f>785</f>
        <v>785</v>
      </c>
      <c r="L328" s="5">
        <f>975</f>
        <v>975</v>
      </c>
      <c r="M328" s="4"/>
      <c r="N328" s="5">
        <f t="shared" si="79"/>
        <v>2941.56</v>
      </c>
    </row>
    <row r="329" spans="1:14" x14ac:dyDescent="0.3">
      <c r="A329" s="3" t="s">
        <v>229</v>
      </c>
      <c r="B329" s="5">
        <f>-121.71</f>
        <v>-121.71</v>
      </c>
      <c r="C329" s="5">
        <f>102.44</f>
        <v>102.44</v>
      </c>
      <c r="D329" s="5">
        <f>-412.06</f>
        <v>-412.06</v>
      </c>
      <c r="E329" s="5">
        <f>435.72</f>
        <v>435.72</v>
      </c>
      <c r="F329" s="5">
        <f>275.17</f>
        <v>275.17</v>
      </c>
      <c r="G329" s="5">
        <f>643.7</f>
        <v>643.70000000000005</v>
      </c>
      <c r="H329" s="5">
        <f>257.19</f>
        <v>257.19</v>
      </c>
      <c r="I329" s="5">
        <f>665.34</f>
        <v>665.34</v>
      </c>
      <c r="J329" s="5">
        <f>228.74</f>
        <v>228.74</v>
      </c>
      <c r="K329" s="5">
        <f>223.74</f>
        <v>223.74</v>
      </c>
      <c r="L329" s="5">
        <f>223.74</f>
        <v>223.74</v>
      </c>
      <c r="M329" s="5">
        <f>223.74</f>
        <v>223.74</v>
      </c>
      <c r="N329" s="5">
        <f t="shared" si="79"/>
        <v>2745.7499999999991</v>
      </c>
    </row>
    <row r="330" spans="1:14" x14ac:dyDescent="0.3">
      <c r="A330" s="3" t="s">
        <v>230</v>
      </c>
      <c r="B330" s="5">
        <f>-121.71</f>
        <v>-121.71</v>
      </c>
      <c r="C330" s="5">
        <f>-118.65</f>
        <v>-118.65</v>
      </c>
      <c r="D330" s="5">
        <f>-386.73</f>
        <v>-386.73</v>
      </c>
      <c r="E330" s="5">
        <f>329.75</f>
        <v>329.75</v>
      </c>
      <c r="F330" s="5">
        <f>226.8</f>
        <v>226.8</v>
      </c>
      <c r="G330" s="5">
        <f>728.98</f>
        <v>728.98</v>
      </c>
      <c r="H330" s="5">
        <f>231.01</f>
        <v>231.01</v>
      </c>
      <c r="I330" s="5">
        <f>699.1</f>
        <v>699.1</v>
      </c>
      <c r="J330" s="5">
        <f>223.74</f>
        <v>223.74</v>
      </c>
      <c r="K330" s="5">
        <f>223.74</f>
        <v>223.74</v>
      </c>
      <c r="L330" s="5">
        <f>241.81</f>
        <v>241.81</v>
      </c>
      <c r="M330" s="5">
        <f>3342.23</f>
        <v>3342.23</v>
      </c>
      <c r="N330" s="5">
        <f t="shared" si="79"/>
        <v>5620.07</v>
      </c>
    </row>
    <row r="331" spans="1:14" x14ac:dyDescent="0.3">
      <c r="A331" s="3" t="s">
        <v>231</v>
      </c>
      <c r="B331" s="5">
        <f>302.89</f>
        <v>302.89</v>
      </c>
      <c r="C331" s="5">
        <f>302.89</f>
        <v>302.89</v>
      </c>
      <c r="D331" s="5">
        <f>267.49</f>
        <v>267.49</v>
      </c>
      <c r="E331" s="5">
        <f>358.63</f>
        <v>358.63</v>
      </c>
      <c r="F331" s="5">
        <f>329.49</f>
        <v>329.49</v>
      </c>
      <c r="G331" s="5">
        <f>329.49</f>
        <v>329.49</v>
      </c>
      <c r="H331" s="5">
        <f>329.49</f>
        <v>329.49</v>
      </c>
      <c r="I331" s="5">
        <f>267.49</f>
        <v>267.49</v>
      </c>
      <c r="J331" s="5">
        <f>329.49</f>
        <v>329.49</v>
      </c>
      <c r="K331" s="5">
        <f>329.49</f>
        <v>329.49</v>
      </c>
      <c r="L331" s="5">
        <f>329.49</f>
        <v>329.49</v>
      </c>
      <c r="M331" s="5">
        <f>329.49</f>
        <v>329.49</v>
      </c>
      <c r="N331" s="5">
        <f t="shared" si="79"/>
        <v>3805.8199999999988</v>
      </c>
    </row>
    <row r="332" spans="1:14" x14ac:dyDescent="0.3">
      <c r="A332" s="3" t="s">
        <v>232</v>
      </c>
      <c r="B332" s="5">
        <f>23078.4</f>
        <v>23078.400000000001</v>
      </c>
      <c r="C332" s="5">
        <f>23078.4</f>
        <v>23078.400000000001</v>
      </c>
      <c r="D332" s="5">
        <f>34617.6</f>
        <v>34617.599999999999</v>
      </c>
      <c r="E332" s="5">
        <f>23078.4</f>
        <v>23078.400000000001</v>
      </c>
      <c r="F332" s="5">
        <f>23078.4</f>
        <v>23078.400000000001</v>
      </c>
      <c r="G332" s="5">
        <f>23078.4</f>
        <v>23078.400000000001</v>
      </c>
      <c r="H332" s="5">
        <f>23078.4</f>
        <v>23078.400000000001</v>
      </c>
      <c r="I332" s="5">
        <f>34617.6</f>
        <v>34617.599999999999</v>
      </c>
      <c r="J332" s="5">
        <f>23078.4</f>
        <v>23078.400000000001</v>
      </c>
      <c r="K332" s="5">
        <f>23078.4</f>
        <v>23078.400000000001</v>
      </c>
      <c r="L332" s="5">
        <f>23078.4</f>
        <v>23078.400000000001</v>
      </c>
      <c r="M332" s="5">
        <f>23078.4</f>
        <v>23078.400000000001</v>
      </c>
      <c r="N332" s="5">
        <f t="shared" si="79"/>
        <v>300019.20000000001</v>
      </c>
    </row>
    <row r="333" spans="1:14" x14ac:dyDescent="0.3">
      <c r="A333" s="3" t="s">
        <v>233</v>
      </c>
      <c r="B333" s="4"/>
      <c r="C333" s="4"/>
      <c r="D333" s="5">
        <f>169277.26</f>
        <v>169277.26</v>
      </c>
      <c r="E333" s="4"/>
      <c r="F333" s="4"/>
      <c r="G333" s="4"/>
      <c r="H333" s="4"/>
      <c r="I333" s="5">
        <f>345394.03</f>
        <v>345394.03</v>
      </c>
      <c r="J333" s="4"/>
      <c r="K333" s="4"/>
      <c r="L333" s="4"/>
      <c r="M333" s="4"/>
      <c r="N333" s="5">
        <f t="shared" si="79"/>
        <v>514671.29000000004</v>
      </c>
    </row>
    <row r="334" spans="1:14" x14ac:dyDescent="0.3">
      <c r="A334" s="3" t="s">
        <v>234</v>
      </c>
      <c r="B334" s="5">
        <f t="shared" ref="B334:H334" si="80">3298.75</f>
        <v>3298.75</v>
      </c>
      <c r="C334" s="5">
        <f t="shared" si="80"/>
        <v>3298.75</v>
      </c>
      <c r="D334" s="5">
        <f t="shared" si="80"/>
        <v>3298.75</v>
      </c>
      <c r="E334" s="5">
        <f t="shared" si="80"/>
        <v>3298.75</v>
      </c>
      <c r="F334" s="5">
        <f t="shared" si="80"/>
        <v>3298.75</v>
      </c>
      <c r="G334" s="5">
        <f t="shared" si="80"/>
        <v>3298.75</v>
      </c>
      <c r="H334" s="5">
        <f t="shared" si="80"/>
        <v>3298.75</v>
      </c>
      <c r="I334" s="5">
        <f>2288.75</f>
        <v>2288.75</v>
      </c>
      <c r="J334" s="4"/>
      <c r="K334" s="4"/>
      <c r="L334" s="4"/>
      <c r="M334" s="4"/>
      <c r="N334" s="5">
        <f t="shared" si="79"/>
        <v>25380</v>
      </c>
    </row>
    <row r="335" spans="1:14" x14ac:dyDescent="0.3">
      <c r="A335" s="3" t="s">
        <v>235</v>
      </c>
      <c r="B335" s="5">
        <f t="shared" ref="B335:H335" si="81">443.5</f>
        <v>443.5</v>
      </c>
      <c r="C335" s="5">
        <f t="shared" si="81"/>
        <v>443.5</v>
      </c>
      <c r="D335" s="5">
        <f t="shared" si="81"/>
        <v>443.5</v>
      </c>
      <c r="E335" s="5">
        <f t="shared" si="81"/>
        <v>443.5</v>
      </c>
      <c r="F335" s="5">
        <f t="shared" si="81"/>
        <v>443.5</v>
      </c>
      <c r="G335" s="5">
        <f t="shared" si="81"/>
        <v>443.5</v>
      </c>
      <c r="H335" s="5">
        <f t="shared" si="81"/>
        <v>443.5</v>
      </c>
      <c r="I335" s="5">
        <f>6727.35</f>
        <v>6727.35</v>
      </c>
      <c r="J335" s="5">
        <f>443.5</f>
        <v>443.5</v>
      </c>
      <c r="K335" s="5">
        <f>443.5</f>
        <v>443.5</v>
      </c>
      <c r="L335" s="5">
        <f>443.5</f>
        <v>443.5</v>
      </c>
      <c r="M335" s="5">
        <f>443.5</f>
        <v>443.5</v>
      </c>
      <c r="N335" s="5">
        <f t="shared" si="79"/>
        <v>11605.85</v>
      </c>
    </row>
    <row r="336" spans="1:14" x14ac:dyDescent="0.3">
      <c r="A336" s="3" t="s">
        <v>236</v>
      </c>
      <c r="B336" s="5">
        <f t="shared" ref="B336:M336" si="82">436.92</f>
        <v>436.92</v>
      </c>
      <c r="C336" s="5">
        <f t="shared" si="82"/>
        <v>436.92</v>
      </c>
      <c r="D336" s="5">
        <f t="shared" si="82"/>
        <v>436.92</v>
      </c>
      <c r="E336" s="5">
        <f t="shared" si="82"/>
        <v>436.92</v>
      </c>
      <c r="F336" s="5">
        <f t="shared" si="82"/>
        <v>436.92</v>
      </c>
      <c r="G336" s="5">
        <f t="shared" si="82"/>
        <v>436.92</v>
      </c>
      <c r="H336" s="5">
        <f t="shared" si="82"/>
        <v>436.92</v>
      </c>
      <c r="I336" s="5">
        <f t="shared" si="82"/>
        <v>436.92</v>
      </c>
      <c r="J336" s="5">
        <f t="shared" si="82"/>
        <v>436.92</v>
      </c>
      <c r="K336" s="5">
        <f t="shared" si="82"/>
        <v>436.92</v>
      </c>
      <c r="L336" s="5">
        <f t="shared" si="82"/>
        <v>436.92</v>
      </c>
      <c r="M336" s="5">
        <f t="shared" si="82"/>
        <v>436.92</v>
      </c>
      <c r="N336" s="5">
        <f t="shared" si="79"/>
        <v>5243.04</v>
      </c>
    </row>
    <row r="337" spans="1:14" x14ac:dyDescent="0.3">
      <c r="A337" s="3" t="s">
        <v>237</v>
      </c>
      <c r="B337" s="5">
        <f>450</f>
        <v>450</v>
      </c>
      <c r="C337" s="5">
        <f>450</f>
        <v>450</v>
      </c>
      <c r="D337" s="5">
        <f>450</f>
        <v>450</v>
      </c>
      <c r="E337" s="5">
        <f>450</f>
        <v>450</v>
      </c>
      <c r="F337" s="5">
        <f>450</f>
        <v>450</v>
      </c>
      <c r="G337" s="5">
        <f>450</f>
        <v>450</v>
      </c>
      <c r="H337" s="5">
        <f>450</f>
        <v>450</v>
      </c>
      <c r="I337" s="5">
        <f>450</f>
        <v>450</v>
      </c>
      <c r="J337" s="5">
        <f>450</f>
        <v>450</v>
      </c>
      <c r="K337" s="5">
        <f>450</f>
        <v>450</v>
      </c>
      <c r="L337" s="5">
        <f>450</f>
        <v>450</v>
      </c>
      <c r="M337" s="5">
        <f>450</f>
        <v>450</v>
      </c>
      <c r="N337" s="5">
        <f t="shared" si="79"/>
        <v>5400</v>
      </c>
    </row>
    <row r="338" spans="1:14" x14ac:dyDescent="0.3">
      <c r="A338" s="3" t="s">
        <v>238</v>
      </c>
      <c r="B338" s="5">
        <f>13846.4</f>
        <v>13846.4</v>
      </c>
      <c r="C338" s="5">
        <f>13846.4</f>
        <v>13846.4</v>
      </c>
      <c r="D338" s="5">
        <f>20769.6</f>
        <v>20769.599999999999</v>
      </c>
      <c r="E338" s="5">
        <f>13846.4</f>
        <v>13846.4</v>
      </c>
      <c r="F338" s="5">
        <f>13846.4</f>
        <v>13846.4</v>
      </c>
      <c r="G338" s="5">
        <f>13846.4</f>
        <v>13846.4</v>
      </c>
      <c r="H338" s="5">
        <f>13846.4</f>
        <v>13846.4</v>
      </c>
      <c r="I338" s="5">
        <f>20772.6</f>
        <v>20772.599999999999</v>
      </c>
      <c r="J338" s="5">
        <f>13846.4</f>
        <v>13846.4</v>
      </c>
      <c r="K338" s="5">
        <f>13846.4</f>
        <v>13846.4</v>
      </c>
      <c r="L338" s="5">
        <f>13846.4</f>
        <v>13846.4</v>
      </c>
      <c r="M338" s="5">
        <f>13846.4</f>
        <v>13846.4</v>
      </c>
      <c r="N338" s="5">
        <f t="shared" si="79"/>
        <v>180006.19999999995</v>
      </c>
    </row>
    <row r="339" spans="1:14" x14ac:dyDescent="0.3">
      <c r="A339" s="3" t="s">
        <v>239</v>
      </c>
      <c r="B339" s="4"/>
      <c r="C339" s="4"/>
      <c r="D339" s="5">
        <f>153462.08</f>
        <v>153462.07999999999</v>
      </c>
      <c r="E339" s="4"/>
      <c r="F339" s="4"/>
      <c r="G339" s="4"/>
      <c r="H339" s="4"/>
      <c r="I339" s="5">
        <f>344779.89</f>
        <v>344779.89</v>
      </c>
      <c r="J339" s="4"/>
      <c r="K339" s="4"/>
      <c r="L339" s="4"/>
      <c r="M339" s="4"/>
      <c r="N339" s="5">
        <f t="shared" si="79"/>
        <v>498241.97</v>
      </c>
    </row>
    <row r="340" spans="1:14" x14ac:dyDescent="0.3">
      <c r="A340" s="3" t="s">
        <v>240</v>
      </c>
      <c r="B340" s="5">
        <f>13846.24</f>
        <v>13846.24</v>
      </c>
      <c r="C340" s="5">
        <f>13846.24</f>
        <v>13846.24</v>
      </c>
      <c r="D340" s="5">
        <f>20769.36</f>
        <v>20769.36</v>
      </c>
      <c r="E340" s="5">
        <f>13846.24</f>
        <v>13846.24</v>
      </c>
      <c r="F340" s="5">
        <f>13846.24</f>
        <v>13846.24</v>
      </c>
      <c r="G340" s="5">
        <f>13846.24</f>
        <v>13846.24</v>
      </c>
      <c r="H340" s="5">
        <f>13846.24</f>
        <v>13846.24</v>
      </c>
      <c r="I340" s="5">
        <f>20769.36</f>
        <v>20769.36</v>
      </c>
      <c r="J340" s="5">
        <f>13846.24</f>
        <v>13846.24</v>
      </c>
      <c r="K340" s="5">
        <f>13846.24</f>
        <v>13846.24</v>
      </c>
      <c r="L340" s="5">
        <f>13846.24</f>
        <v>13846.24</v>
      </c>
      <c r="M340" s="5">
        <f>13846.24</f>
        <v>13846.24</v>
      </c>
      <c r="N340" s="5">
        <f t="shared" si="79"/>
        <v>180001.11999999997</v>
      </c>
    </row>
    <row r="341" spans="1:14" x14ac:dyDescent="0.3">
      <c r="A341" s="3" t="s">
        <v>241</v>
      </c>
      <c r="B341" s="4"/>
      <c r="C341" s="4"/>
      <c r="D341" s="5">
        <f>80482.41</f>
        <v>80482.41</v>
      </c>
      <c r="E341" s="4"/>
      <c r="F341" s="4"/>
      <c r="G341" s="4"/>
      <c r="H341" s="4"/>
      <c r="I341" s="5">
        <f>168422.82</f>
        <v>168422.82</v>
      </c>
      <c r="J341" s="4"/>
      <c r="K341" s="4"/>
      <c r="L341" s="4"/>
      <c r="M341" s="4"/>
      <c r="N341" s="5">
        <f t="shared" si="79"/>
        <v>248905.23</v>
      </c>
    </row>
    <row r="342" spans="1:14" x14ac:dyDescent="0.3">
      <c r="A342" s="3" t="s">
        <v>242</v>
      </c>
      <c r="B342" s="5">
        <f t="shared" ref="B342:H342" si="83">1026.26</f>
        <v>1026.26</v>
      </c>
      <c r="C342" s="5">
        <f t="shared" si="83"/>
        <v>1026.26</v>
      </c>
      <c r="D342" s="5">
        <f t="shared" si="83"/>
        <v>1026.26</v>
      </c>
      <c r="E342" s="5">
        <f t="shared" si="83"/>
        <v>1026.26</v>
      </c>
      <c r="F342" s="5">
        <f t="shared" si="83"/>
        <v>1026.26</v>
      </c>
      <c r="G342" s="5">
        <f t="shared" si="83"/>
        <v>1026.26</v>
      </c>
      <c r="H342" s="5">
        <f t="shared" si="83"/>
        <v>1026.26</v>
      </c>
      <c r="I342" s="5">
        <f>393.38</f>
        <v>393.38</v>
      </c>
      <c r="J342" s="5">
        <f>973.52</f>
        <v>973.52</v>
      </c>
      <c r="K342" s="5">
        <f>973.52</f>
        <v>973.52</v>
      </c>
      <c r="L342" s="5">
        <f>973.52</f>
        <v>973.52</v>
      </c>
      <c r="M342" s="5">
        <f>973.52</f>
        <v>973.52</v>
      </c>
      <c r="N342" s="5">
        <f t="shared" si="79"/>
        <v>11471.280000000002</v>
      </c>
    </row>
    <row r="343" spans="1:14" x14ac:dyDescent="0.3">
      <c r="A343" s="3" t="s">
        <v>243</v>
      </c>
      <c r="B343" s="5">
        <f>116.44</f>
        <v>116.44</v>
      </c>
      <c r="C343" s="5">
        <f>-106.95</f>
        <v>-106.95</v>
      </c>
      <c r="D343" s="4"/>
      <c r="E343" s="4"/>
      <c r="F343" s="5">
        <f>0</f>
        <v>0</v>
      </c>
      <c r="G343" s="4"/>
      <c r="H343" s="5">
        <f>6.08</f>
        <v>6.08</v>
      </c>
      <c r="I343" s="5">
        <f>-6.08</f>
        <v>-6.08</v>
      </c>
      <c r="J343" s="4"/>
      <c r="K343" s="5">
        <f>8.95</f>
        <v>8.9499999999999993</v>
      </c>
      <c r="L343" s="5">
        <f>74.21</f>
        <v>74.209999999999994</v>
      </c>
      <c r="M343" s="5">
        <f>16.4</f>
        <v>16.399999999999999</v>
      </c>
      <c r="N343" s="5">
        <f t="shared" si="79"/>
        <v>109.04999999999998</v>
      </c>
    </row>
    <row r="344" spans="1:14" x14ac:dyDescent="0.3">
      <c r="A344" s="3" t="s">
        <v>244</v>
      </c>
      <c r="B344" s="5">
        <f>3.85</f>
        <v>3.85</v>
      </c>
      <c r="C344" s="5">
        <f>172.83</f>
        <v>172.83</v>
      </c>
      <c r="D344" s="4"/>
      <c r="E344" s="5">
        <f>338.52</f>
        <v>338.52</v>
      </c>
      <c r="F344" s="5">
        <f>0</f>
        <v>0</v>
      </c>
      <c r="G344" s="4"/>
      <c r="H344" s="5">
        <f>0</f>
        <v>0</v>
      </c>
      <c r="I344" s="4"/>
      <c r="J344" s="5">
        <f>0</f>
        <v>0</v>
      </c>
      <c r="K344" s="5">
        <f>6.85</f>
        <v>6.85</v>
      </c>
      <c r="L344" s="4"/>
      <c r="M344" s="5">
        <f>605.28</f>
        <v>605.28</v>
      </c>
      <c r="N344" s="5">
        <f t="shared" si="79"/>
        <v>1127.33</v>
      </c>
    </row>
    <row r="345" spans="1:14" x14ac:dyDescent="0.3">
      <c r="A345" s="3" t="s">
        <v>245</v>
      </c>
      <c r="B345" s="5">
        <f>62.86</f>
        <v>62.86</v>
      </c>
      <c r="C345" s="5">
        <f>-10.22</f>
        <v>-10.220000000000001</v>
      </c>
      <c r="D345" s="5">
        <f>74.8</f>
        <v>74.8</v>
      </c>
      <c r="E345" s="5">
        <f>190.12</f>
        <v>190.12</v>
      </c>
      <c r="F345" s="5">
        <f>-6.5</f>
        <v>-6.5</v>
      </c>
      <c r="G345" s="5">
        <f>90.51</f>
        <v>90.51</v>
      </c>
      <c r="H345" s="5">
        <f>71.55</f>
        <v>71.55</v>
      </c>
      <c r="I345" s="5">
        <f>-82.55</f>
        <v>-82.55</v>
      </c>
      <c r="J345" s="5">
        <f>0</f>
        <v>0</v>
      </c>
      <c r="K345" s="5">
        <f>86.28</f>
        <v>86.28</v>
      </c>
      <c r="L345" s="5">
        <f>-28.69</f>
        <v>-28.69</v>
      </c>
      <c r="M345" s="5">
        <f>149.39</f>
        <v>149.38999999999999</v>
      </c>
      <c r="N345" s="5">
        <f t="shared" si="79"/>
        <v>597.54999999999995</v>
      </c>
    </row>
    <row r="346" spans="1:14" x14ac:dyDescent="0.3">
      <c r="A346" s="3" t="s">
        <v>246</v>
      </c>
      <c r="B346" s="5">
        <f t="shared" ref="B346:H346" si="84">1508.48</f>
        <v>1508.48</v>
      </c>
      <c r="C346" s="5">
        <f t="shared" si="84"/>
        <v>1508.48</v>
      </c>
      <c r="D346" s="5">
        <f t="shared" si="84"/>
        <v>1508.48</v>
      </c>
      <c r="E346" s="5">
        <f t="shared" si="84"/>
        <v>1508.48</v>
      </c>
      <c r="F346" s="5">
        <f t="shared" si="84"/>
        <v>1508.48</v>
      </c>
      <c r="G346" s="5">
        <f t="shared" si="84"/>
        <v>1508.48</v>
      </c>
      <c r="H346" s="5">
        <f t="shared" si="84"/>
        <v>1508.48</v>
      </c>
      <c r="I346" s="5">
        <f>-1619.2</f>
        <v>-1619.2</v>
      </c>
      <c r="J346" s="5">
        <f>1247.84</f>
        <v>1247.8399999999999</v>
      </c>
      <c r="K346" s="5">
        <f>1247.84</f>
        <v>1247.8399999999999</v>
      </c>
      <c r="L346" s="5">
        <f>1247.84</f>
        <v>1247.8399999999999</v>
      </c>
      <c r="M346" s="5">
        <f>1247.84</f>
        <v>1247.8399999999999</v>
      </c>
      <c r="N346" s="5">
        <f t="shared" si="79"/>
        <v>13931.519999999999</v>
      </c>
    </row>
    <row r="347" spans="1:14" x14ac:dyDescent="0.3">
      <c r="A347" s="3" t="s">
        <v>247</v>
      </c>
      <c r="B347" s="5">
        <f>7615</f>
        <v>7615</v>
      </c>
      <c r="C347" s="5">
        <f>0</f>
        <v>0</v>
      </c>
      <c r="D347" s="5">
        <f>-20308</f>
        <v>-20308</v>
      </c>
      <c r="E347" s="5">
        <f>2538</f>
        <v>2538</v>
      </c>
      <c r="F347" s="5">
        <f>7616</f>
        <v>7616</v>
      </c>
      <c r="G347" s="5">
        <f>2539</f>
        <v>2539</v>
      </c>
      <c r="H347" s="5">
        <f>5077</f>
        <v>5077</v>
      </c>
      <c r="I347" s="5">
        <f>-17770</f>
        <v>-17770</v>
      </c>
      <c r="J347" s="5">
        <f>0</f>
        <v>0</v>
      </c>
      <c r="K347" s="5">
        <f>7615</f>
        <v>7615</v>
      </c>
      <c r="L347" s="5">
        <f>5078</f>
        <v>5078</v>
      </c>
      <c r="M347" s="5">
        <f>2538</f>
        <v>2538</v>
      </c>
      <c r="N347" s="5">
        <f t="shared" si="79"/>
        <v>2538</v>
      </c>
    </row>
    <row r="348" spans="1:14" x14ac:dyDescent="0.3">
      <c r="A348" s="3" t="s">
        <v>248</v>
      </c>
      <c r="B348" s="5">
        <f>3839.17</f>
        <v>3839.17</v>
      </c>
      <c r="C348" s="5">
        <f>3787.1</f>
        <v>3787.1</v>
      </c>
      <c r="D348" s="5">
        <f>23414.57</f>
        <v>23414.57</v>
      </c>
      <c r="E348" s="5">
        <f>1584.44</f>
        <v>1584.44</v>
      </c>
      <c r="F348" s="5">
        <f>759.62</f>
        <v>759.62</v>
      </c>
      <c r="G348" s="5">
        <f>727.64</f>
        <v>727.64</v>
      </c>
      <c r="H348" s="5">
        <f>727.64</f>
        <v>727.64</v>
      </c>
      <c r="I348" s="5">
        <f>12346.86</f>
        <v>12346.86</v>
      </c>
      <c r="J348" s="5">
        <f>780.95</f>
        <v>780.95</v>
      </c>
      <c r="K348" s="5">
        <f>708.3</f>
        <v>708.3</v>
      </c>
      <c r="L348" s="5">
        <f>872.37</f>
        <v>872.37</v>
      </c>
      <c r="M348" s="5">
        <f>1998.17</f>
        <v>1998.17</v>
      </c>
      <c r="N348" s="5">
        <f t="shared" si="79"/>
        <v>51546.83</v>
      </c>
    </row>
    <row r="349" spans="1:14" x14ac:dyDescent="0.3">
      <c r="A349" s="3" t="s">
        <v>249</v>
      </c>
      <c r="B349" s="5">
        <f>478.77</f>
        <v>478.77</v>
      </c>
      <c r="C349" s="5">
        <f>481.7</f>
        <v>481.7</v>
      </c>
      <c r="D349" s="5">
        <f>480.06</f>
        <v>480.06</v>
      </c>
      <c r="E349" s="5">
        <f>845.83</f>
        <v>845.83</v>
      </c>
      <c r="F349" s="5">
        <f>213.66</f>
        <v>213.66</v>
      </c>
      <c r="G349" s="5">
        <f>507.66</f>
        <v>507.66</v>
      </c>
      <c r="H349" s="5">
        <f>514.91</f>
        <v>514.91</v>
      </c>
      <c r="I349" s="5">
        <f>521.09</f>
        <v>521.09</v>
      </c>
      <c r="J349" s="5">
        <f>1162.23</f>
        <v>1162.23</v>
      </c>
      <c r="K349" s="5">
        <f>251.35</f>
        <v>251.35</v>
      </c>
      <c r="L349" s="5">
        <f>251.35</f>
        <v>251.35</v>
      </c>
      <c r="M349" s="5">
        <f>363.39</f>
        <v>363.39</v>
      </c>
      <c r="N349" s="5">
        <f t="shared" si="79"/>
        <v>6072.0000000000009</v>
      </c>
    </row>
    <row r="350" spans="1:14" x14ac:dyDescent="0.3">
      <c r="A350" s="3" t="s">
        <v>250</v>
      </c>
      <c r="B350" s="5">
        <f>304.37</f>
        <v>304.37</v>
      </c>
      <c r="C350" s="5">
        <f>304.37</f>
        <v>304.37</v>
      </c>
      <c r="D350" s="5">
        <f>304.55</f>
        <v>304.55</v>
      </c>
      <c r="E350" s="5">
        <f>304.55</f>
        <v>304.55</v>
      </c>
      <c r="F350" s="5">
        <f>304.55</f>
        <v>304.55</v>
      </c>
      <c r="G350" s="5">
        <f>304.37</f>
        <v>304.37</v>
      </c>
      <c r="H350" s="5">
        <f>304.37</f>
        <v>304.37</v>
      </c>
      <c r="I350" s="5">
        <f>304.37</f>
        <v>304.37</v>
      </c>
      <c r="J350" s="5">
        <f>304.01</f>
        <v>304.01</v>
      </c>
      <c r="K350" s="5">
        <f>581.42</f>
        <v>581.41999999999996</v>
      </c>
      <c r="L350" s="5">
        <f>146.3</f>
        <v>146.30000000000001</v>
      </c>
      <c r="M350" s="4"/>
      <c r="N350" s="5">
        <f t="shared" si="79"/>
        <v>3467.2299999999996</v>
      </c>
    </row>
    <row r="351" spans="1:14" x14ac:dyDescent="0.3">
      <c r="A351" s="3" t="s">
        <v>251</v>
      </c>
      <c r="B351" s="5">
        <f>10</f>
        <v>10</v>
      </c>
      <c r="C351" s="5">
        <f>10</f>
        <v>10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>
        <f t="shared" si="79"/>
        <v>20</v>
      </c>
    </row>
    <row r="352" spans="1:14" x14ac:dyDescent="0.3">
      <c r="A352" s="3" t="s">
        <v>252</v>
      </c>
      <c r="B352" s="4"/>
      <c r="C352" s="4"/>
      <c r="D352" s="4"/>
      <c r="E352" s="5">
        <f>1520.79</f>
        <v>1520.79</v>
      </c>
      <c r="F352" s="4"/>
      <c r="G352" s="4"/>
      <c r="H352" s="4"/>
      <c r="I352" s="4"/>
      <c r="J352" s="4"/>
      <c r="K352" s="4"/>
      <c r="L352" s="4"/>
      <c r="M352" s="5">
        <f>437.89</f>
        <v>437.89</v>
      </c>
      <c r="N352" s="5">
        <f t="shared" si="79"/>
        <v>1958.6799999999998</v>
      </c>
    </row>
    <row r="353" spans="1:14" x14ac:dyDescent="0.3">
      <c r="A353" s="3" t="s">
        <v>253</v>
      </c>
      <c r="B353" s="5">
        <f>37.42</f>
        <v>37.42</v>
      </c>
      <c r="C353" s="4"/>
      <c r="D353" s="5">
        <f>209.8</f>
        <v>209.8</v>
      </c>
      <c r="E353" s="5">
        <f>415.73</f>
        <v>415.73</v>
      </c>
      <c r="F353" s="4"/>
      <c r="G353" s="4"/>
      <c r="H353" s="5">
        <f>-172.76</f>
        <v>-172.76</v>
      </c>
      <c r="I353" s="4"/>
      <c r="J353" s="4"/>
      <c r="K353" s="4"/>
      <c r="L353" s="4"/>
      <c r="M353" s="4"/>
      <c r="N353" s="5">
        <f t="shared" si="79"/>
        <v>490.19000000000005</v>
      </c>
    </row>
    <row r="354" spans="1:14" x14ac:dyDescent="0.3">
      <c r="A354" s="3" t="s">
        <v>254</v>
      </c>
      <c r="B354" s="6">
        <f t="shared" ref="B354:M354" si="85">(((((((((((((((((((((((((((((B324)+(B325))+(B326))+(B327))+(B328))+(B329))+(B330))+(B331))+(B332))+(B333))+(B334))+(B335))+(B336))+(B337))+(B338))+(B339))+(B340))+(B341))+(B342))+(B343))+(B344))+(B345))+(B346))+(B347))+(B348))+(B349))+(B350))+(B351))+(B352))+(B353)</f>
        <v>71707.3</v>
      </c>
      <c r="C354" s="6">
        <f t="shared" si="85"/>
        <v>63135.460000000006</v>
      </c>
      <c r="D354" s="6">
        <f t="shared" si="85"/>
        <v>491656.7</v>
      </c>
      <c r="E354" s="6">
        <f t="shared" si="85"/>
        <v>67201.650000000009</v>
      </c>
      <c r="F354" s="6">
        <f t="shared" si="85"/>
        <v>67653.740000000005</v>
      </c>
      <c r="G354" s="6">
        <f t="shared" si="85"/>
        <v>64006.30000000001</v>
      </c>
      <c r="H354" s="6">
        <f t="shared" si="85"/>
        <v>65639.500000000015</v>
      </c>
      <c r="I354" s="6">
        <f t="shared" si="85"/>
        <v>951596.97999999986</v>
      </c>
      <c r="J354" s="6">
        <f t="shared" si="85"/>
        <v>57351.979999999996</v>
      </c>
      <c r="K354" s="6">
        <f t="shared" si="85"/>
        <v>67137.94</v>
      </c>
      <c r="L354" s="6">
        <f t="shared" si="85"/>
        <v>63206.399999999994</v>
      </c>
      <c r="M354" s="6">
        <f t="shared" si="85"/>
        <v>65301.799999999988</v>
      </c>
      <c r="N354" s="6">
        <f t="shared" si="79"/>
        <v>2095595.7499999998</v>
      </c>
    </row>
    <row r="355" spans="1:14" x14ac:dyDescent="0.3">
      <c r="A355" s="3" t="s">
        <v>255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>
        <f t="shared" si="79"/>
        <v>0</v>
      </c>
    </row>
    <row r="356" spans="1:14" x14ac:dyDescent="0.3">
      <c r="A356" s="3" t="s">
        <v>15</v>
      </c>
      <c r="B356" s="4"/>
      <c r="C356" s="4"/>
      <c r="D356" s="4"/>
      <c r="E356" s="5">
        <f>1039</f>
        <v>1039</v>
      </c>
      <c r="F356" s="4"/>
      <c r="G356" s="4"/>
      <c r="H356" s="4"/>
      <c r="I356" s="4"/>
      <c r="J356" s="4"/>
      <c r="K356" s="4"/>
      <c r="L356" s="4"/>
      <c r="M356" s="5">
        <f>1500</f>
        <v>1500</v>
      </c>
      <c r="N356" s="5">
        <f t="shared" si="79"/>
        <v>2539</v>
      </c>
    </row>
    <row r="357" spans="1:14" x14ac:dyDescent="0.3">
      <c r="A357" s="3" t="s">
        <v>256</v>
      </c>
      <c r="B357" s="4"/>
      <c r="C357" s="4"/>
      <c r="D357" s="4"/>
      <c r="E357" s="5">
        <f>3104</f>
        <v>3104</v>
      </c>
      <c r="F357" s="4"/>
      <c r="G357" s="4"/>
      <c r="H357" s="4"/>
      <c r="I357" s="4"/>
      <c r="J357" s="4"/>
      <c r="K357" s="4"/>
      <c r="L357" s="4"/>
      <c r="M357" s="5">
        <f>1900</f>
        <v>1900</v>
      </c>
      <c r="N357" s="5">
        <f t="shared" si="79"/>
        <v>5004</v>
      </c>
    </row>
    <row r="358" spans="1:14" x14ac:dyDescent="0.3">
      <c r="A358" s="3" t="s">
        <v>18</v>
      </c>
      <c r="B358" s="4"/>
      <c r="C358" s="4"/>
      <c r="D358" s="4"/>
      <c r="E358" s="5">
        <f>5214</f>
        <v>5214</v>
      </c>
      <c r="F358" s="4"/>
      <c r="G358" s="5">
        <f>5649.01</f>
        <v>5649.01</v>
      </c>
      <c r="H358" s="4"/>
      <c r="I358" s="4"/>
      <c r="J358" s="4"/>
      <c r="K358" s="4"/>
      <c r="L358" s="4"/>
      <c r="M358" s="5">
        <f>1000</f>
        <v>1000</v>
      </c>
      <c r="N358" s="5">
        <f t="shared" si="79"/>
        <v>11863.01</v>
      </c>
    </row>
    <row r="359" spans="1:14" x14ac:dyDescent="0.3">
      <c r="A359" s="3" t="s">
        <v>19</v>
      </c>
      <c r="B359" s="4"/>
      <c r="C359" s="4"/>
      <c r="D359" s="4"/>
      <c r="E359" s="5">
        <f>144</f>
        <v>144</v>
      </c>
      <c r="F359" s="5">
        <f>27.51</f>
        <v>27.51</v>
      </c>
      <c r="G359" s="4"/>
      <c r="H359" s="4"/>
      <c r="I359" s="4"/>
      <c r="J359" s="4"/>
      <c r="K359" s="4"/>
      <c r="L359" s="4"/>
      <c r="M359" s="5">
        <f>400</f>
        <v>400</v>
      </c>
      <c r="N359" s="5">
        <f t="shared" si="79"/>
        <v>571.51</v>
      </c>
    </row>
    <row r="360" spans="1:14" x14ac:dyDescent="0.3">
      <c r="A360" s="3" t="s">
        <v>257</v>
      </c>
      <c r="B360" s="6">
        <f t="shared" ref="B360:M360" si="86">((((B355)+(B356))+(B357))+(B358))+(B359)</f>
        <v>0</v>
      </c>
      <c r="C360" s="6">
        <f t="shared" si="86"/>
        <v>0</v>
      </c>
      <c r="D360" s="6">
        <f t="shared" si="86"/>
        <v>0</v>
      </c>
      <c r="E360" s="6">
        <f t="shared" si="86"/>
        <v>9501</v>
      </c>
      <c r="F360" s="6">
        <f t="shared" si="86"/>
        <v>27.51</v>
      </c>
      <c r="G360" s="6">
        <f t="shared" si="86"/>
        <v>5649.01</v>
      </c>
      <c r="H360" s="6">
        <f t="shared" si="86"/>
        <v>0</v>
      </c>
      <c r="I360" s="6">
        <f t="shared" si="86"/>
        <v>0</v>
      </c>
      <c r="J360" s="6">
        <f t="shared" si="86"/>
        <v>0</v>
      </c>
      <c r="K360" s="6">
        <f t="shared" si="86"/>
        <v>0</v>
      </c>
      <c r="L360" s="6">
        <f t="shared" si="86"/>
        <v>0</v>
      </c>
      <c r="M360" s="6">
        <f t="shared" si="86"/>
        <v>4800</v>
      </c>
      <c r="N360" s="6">
        <f t="shared" si="79"/>
        <v>19977.52</v>
      </c>
    </row>
    <row r="361" spans="1:14" x14ac:dyDescent="0.3">
      <c r="A361" s="3" t="s">
        <v>258</v>
      </c>
      <c r="B361" s="5">
        <f>2952.53</f>
        <v>2952.53</v>
      </c>
      <c r="C361" s="5">
        <f>4329.4</f>
        <v>4329.3999999999996</v>
      </c>
      <c r="D361" s="5">
        <f>987.25</f>
        <v>987.25</v>
      </c>
      <c r="E361" s="5">
        <f>2767.41</f>
        <v>2767.41</v>
      </c>
      <c r="F361" s="5">
        <f>2425.01</f>
        <v>2425.0100000000002</v>
      </c>
      <c r="G361" s="5">
        <f>2633.66</f>
        <v>2633.66</v>
      </c>
      <c r="H361" s="5">
        <f>2484.36</f>
        <v>2484.36</v>
      </c>
      <c r="I361" s="5">
        <f>2502.81</f>
        <v>2502.81</v>
      </c>
      <c r="J361" s="5">
        <f>2717.27</f>
        <v>2717.27</v>
      </c>
      <c r="K361" s="5">
        <f>2708.8</f>
        <v>2708.8</v>
      </c>
      <c r="L361" s="5">
        <f>2517.12</f>
        <v>2517.12</v>
      </c>
      <c r="M361" s="5">
        <f>2681.11</f>
        <v>2681.11</v>
      </c>
      <c r="N361" s="5">
        <f t="shared" si="79"/>
        <v>31706.73</v>
      </c>
    </row>
    <row r="362" spans="1:14" x14ac:dyDescent="0.3">
      <c r="A362" s="3" t="s">
        <v>259</v>
      </c>
      <c r="B362" s="4"/>
      <c r="C362" s="5">
        <f>80.63</f>
        <v>80.63</v>
      </c>
      <c r="D362" s="5">
        <f>80.63</f>
        <v>80.63</v>
      </c>
      <c r="E362" s="5">
        <f>1.71</f>
        <v>1.71</v>
      </c>
      <c r="F362" s="4"/>
      <c r="G362" s="5">
        <f>1.7</f>
        <v>1.7</v>
      </c>
      <c r="H362" s="4"/>
      <c r="I362" s="4"/>
      <c r="J362" s="5">
        <f>32</f>
        <v>32</v>
      </c>
      <c r="K362" s="5">
        <f>64</f>
        <v>64</v>
      </c>
      <c r="L362" s="4"/>
      <c r="M362" s="4"/>
      <c r="N362" s="5">
        <f t="shared" si="79"/>
        <v>260.66999999999996</v>
      </c>
    </row>
    <row r="363" spans="1:14" x14ac:dyDescent="0.3">
      <c r="A363" s="3" t="s">
        <v>260</v>
      </c>
      <c r="B363" s="6">
        <f t="shared" ref="B363:M363" si="87">(((B354)+(B360))+(B361))+(B362)</f>
        <v>74659.83</v>
      </c>
      <c r="C363" s="6">
        <f t="shared" si="87"/>
        <v>67545.490000000005</v>
      </c>
      <c r="D363" s="6">
        <f t="shared" si="87"/>
        <v>492724.58</v>
      </c>
      <c r="E363" s="6">
        <f t="shared" si="87"/>
        <v>79471.770000000019</v>
      </c>
      <c r="F363" s="6">
        <f t="shared" si="87"/>
        <v>70106.259999999995</v>
      </c>
      <c r="G363" s="6">
        <f t="shared" si="87"/>
        <v>72290.670000000013</v>
      </c>
      <c r="H363" s="6">
        <f t="shared" si="87"/>
        <v>68123.860000000015</v>
      </c>
      <c r="I363" s="6">
        <f t="shared" si="87"/>
        <v>954099.78999999992</v>
      </c>
      <c r="J363" s="6">
        <f t="shared" si="87"/>
        <v>60101.249999999993</v>
      </c>
      <c r="K363" s="6">
        <f t="shared" si="87"/>
        <v>69910.740000000005</v>
      </c>
      <c r="L363" s="6">
        <f t="shared" si="87"/>
        <v>65723.51999999999</v>
      </c>
      <c r="M363" s="6">
        <f t="shared" si="87"/>
        <v>72782.909999999989</v>
      </c>
      <c r="N363" s="6">
        <f>(((((((((((B363)+(C363))+(D363))+(E363))+(F363))+(G363))+(H363))+(I363))+(J363))+(K363))+(L363))+(M363)</f>
        <v>2147540.67</v>
      </c>
    </row>
    <row r="364" spans="1:14" x14ac:dyDescent="0.3">
      <c r="A364" s="3" t="s">
        <v>261</v>
      </c>
      <c r="B364" s="6">
        <f t="shared" ref="B364:M364" si="88">(B322)-(B363)</f>
        <v>-74650.69</v>
      </c>
      <c r="C364" s="6">
        <f t="shared" si="88"/>
        <v>-67535.27</v>
      </c>
      <c r="D364" s="6">
        <f t="shared" si="88"/>
        <v>-492708.05</v>
      </c>
      <c r="E364" s="6">
        <f t="shared" si="88"/>
        <v>-79462.49000000002</v>
      </c>
      <c r="F364" s="6">
        <f t="shared" si="88"/>
        <v>-70100.679999999993</v>
      </c>
      <c r="G364" s="6">
        <f t="shared" si="88"/>
        <v>-72274.690000000017</v>
      </c>
      <c r="H364" s="6">
        <f t="shared" si="88"/>
        <v>-68106.220000000016</v>
      </c>
      <c r="I364" s="6">
        <f t="shared" si="88"/>
        <v>-954083.79999999993</v>
      </c>
      <c r="J364" s="6">
        <f t="shared" si="88"/>
        <v>-60101.249999999993</v>
      </c>
      <c r="K364" s="6">
        <f t="shared" si="88"/>
        <v>-69910.740000000005</v>
      </c>
      <c r="L364" s="6">
        <f t="shared" si="88"/>
        <v>-65723.51999999999</v>
      </c>
      <c r="M364" s="6">
        <f t="shared" si="88"/>
        <v>-72770.579999999987</v>
      </c>
      <c r="N364" s="6">
        <f t="shared" si="79"/>
        <v>-2147427.98</v>
      </c>
    </row>
    <row r="365" spans="1:14" x14ac:dyDescent="0.3">
      <c r="A365" s="3" t="s">
        <v>262</v>
      </c>
      <c r="B365" s="7">
        <f t="shared" ref="B365:M365" si="89">(B319)+(B364)</f>
        <v>16286.950000000361</v>
      </c>
      <c r="C365" s="7">
        <f t="shared" si="89"/>
        <v>72821.120000000126</v>
      </c>
      <c r="D365" s="7">
        <f t="shared" si="89"/>
        <v>-278743.66999999987</v>
      </c>
      <c r="E365" s="7">
        <f t="shared" si="89"/>
        <v>152575.74000000019</v>
      </c>
      <c r="F365" s="7">
        <f t="shared" si="89"/>
        <v>195919.2</v>
      </c>
      <c r="G365" s="7">
        <f t="shared" si="89"/>
        <v>126835.33000000035</v>
      </c>
      <c r="H365" s="7">
        <f t="shared" si="89"/>
        <v>149496.46000000014</v>
      </c>
      <c r="I365" s="7">
        <f t="shared" si="89"/>
        <v>-741762.02</v>
      </c>
      <c r="J365" s="7">
        <f t="shared" si="89"/>
        <v>82753.670000000275</v>
      </c>
      <c r="K365" s="7">
        <f t="shared" si="89"/>
        <v>220346.56000000006</v>
      </c>
      <c r="L365" s="7">
        <f t="shared" si="89"/>
        <v>78927.99000000002</v>
      </c>
      <c r="M365" s="7">
        <f t="shared" si="89"/>
        <v>116949.58000000005</v>
      </c>
      <c r="N365" s="7">
        <f t="shared" si="79"/>
        <v>192406.91000000166</v>
      </c>
    </row>
    <row r="366" spans="1:14" x14ac:dyDescent="0.3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9" spans="1:14" x14ac:dyDescent="0.3">
      <c r="A369" s="8" t="s">
        <v>263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</sheetData>
  <mergeCells count="4">
    <mergeCell ref="A369:N369"/>
    <mergeCell ref="A1:N1"/>
    <mergeCell ref="A2:N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SmartKrevetka</cp:lastModifiedBy>
  <dcterms:created xsi:type="dcterms:W3CDTF">2019-01-28T19:28:31Z</dcterms:created>
  <dcterms:modified xsi:type="dcterms:W3CDTF">2019-04-30T11:30:49Z</dcterms:modified>
</cp:coreProperties>
</file>