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fg\Documentation\Archivos adjuntos\"/>
    </mc:Choice>
  </mc:AlternateContent>
  <xr:revisionPtr revIDLastSave="0" documentId="13_ncr:1_{C6617EE8-AA95-4BE2-A85B-7EEEB2A842B5}" xr6:coauthVersionLast="47" xr6:coauthVersionMax="47" xr10:uidLastSave="{00000000-0000-0000-0000-000000000000}"/>
  <bookViews>
    <workbookView xWindow="-28920" yWindow="-7770" windowWidth="29040" windowHeight="15990" firstSheet="4" activeTab="4" xr2:uid="{00000000-000D-0000-FFFF-FFFF00000000}"/>
  </bookViews>
  <sheets>
    <sheet name="Personal_Empresa" sheetId="1" r:id="rId1"/>
    <sheet name="Costes_Med_Produccion_E_Indirec" sheetId="6" r:id="rId2"/>
    <sheet name="Resumen_Def_Empresa" sheetId="5" r:id="rId3"/>
    <sheet name="Partida1_AdquisiciónInstalación" sheetId="2" r:id="rId4"/>
    <sheet name="Partida2_Desarrollo" sheetId="8" r:id="rId5"/>
    <sheet name="Partida3_Formacion" sheetId="7" r:id="rId6"/>
    <sheet name="Partida4_OtrosCostes" sheetId="11" r:id="rId7"/>
    <sheet name="Presupuesto_Costes_Agregado" sheetId="9" r:id="rId8"/>
    <sheet name="Presupuesto_Cliente" sheetId="10" r:id="rId9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2" i="8" l="1"/>
  <c r="AJ66" i="8"/>
  <c r="AK66" i="8" s="1"/>
  <c r="AJ57" i="8"/>
  <c r="AK57" i="8" s="1"/>
  <c r="AJ52" i="8"/>
  <c r="AK52" i="8" s="1"/>
  <c r="AJ31" i="8"/>
  <c r="AK31" i="8" s="1"/>
  <c r="AJ25" i="8"/>
  <c r="AK25" i="8" s="1"/>
  <c r="AJ16" i="8"/>
  <c r="AK16" i="8" s="1"/>
  <c r="AJ10" i="8"/>
  <c r="Y48" i="8"/>
  <c r="Z48" i="8" s="1"/>
  <c r="Y35" i="8"/>
  <c r="Z35" i="8" s="1"/>
  <c r="Y12" i="8"/>
  <c r="Z12" i="8" s="1"/>
  <c r="AA11" i="8" s="1"/>
  <c r="AB10" i="8" s="1"/>
  <c r="N65" i="8"/>
  <c r="O65" i="8" s="1"/>
  <c r="Y52" i="8"/>
  <c r="N46" i="8"/>
  <c r="O46" i="8" s="1"/>
  <c r="AJ59" i="8"/>
  <c r="AJ51" i="8"/>
  <c r="AK51" i="8" s="1"/>
  <c r="AJ50" i="8"/>
  <c r="AJ45" i="8"/>
  <c r="AK45" i="8" s="1"/>
  <c r="AJ43" i="8"/>
  <c r="AJ36" i="8"/>
  <c r="AK36" i="8" s="1"/>
  <c r="AJ29" i="8"/>
  <c r="AK29" i="8" s="1"/>
  <c r="AJ23" i="8"/>
  <c r="AK23" i="8" s="1"/>
  <c r="AJ22" i="8"/>
  <c r="AK22" i="8" s="1"/>
  <c r="AJ21" i="8"/>
  <c r="AK21" i="8" s="1"/>
  <c r="Y45" i="8"/>
  <c r="Y44" i="8"/>
  <c r="Z44" i="8" s="1"/>
  <c r="Y43" i="8"/>
  <c r="Z43" i="8" s="1"/>
  <c r="Y25" i="8"/>
  <c r="Z25" i="8" s="1"/>
  <c r="Y8" i="8"/>
  <c r="Z8" i="8" s="1"/>
  <c r="Y7" i="8"/>
  <c r="Z7" i="8" s="1"/>
  <c r="N62" i="8"/>
  <c r="N60" i="8"/>
  <c r="N43" i="8"/>
  <c r="O43" i="8" s="1"/>
  <c r="N42" i="8"/>
  <c r="O42" i="8" s="1"/>
  <c r="N25" i="8"/>
  <c r="N9" i="8"/>
  <c r="N7" i="8"/>
  <c r="O7" i="8" s="1"/>
  <c r="E32" i="10"/>
  <c r="D9" i="9"/>
  <c r="K4" i="11"/>
  <c r="I7" i="11"/>
  <c r="I6" i="11"/>
  <c r="K7" i="1"/>
  <c r="D7" i="6"/>
  <c r="D8" i="6"/>
  <c r="D9" i="6"/>
  <c r="D10" i="6"/>
  <c r="D11" i="6"/>
  <c r="D6" i="6"/>
  <c r="E9" i="10"/>
  <c r="H12" i="7"/>
  <c r="I12" i="7" s="1"/>
  <c r="W15" i="2"/>
  <c r="O10" i="2"/>
  <c r="Y11" i="2"/>
  <c r="X9" i="2"/>
  <c r="X7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H11" i="7"/>
  <c r="I11" i="7" s="1"/>
  <c r="I13" i="7"/>
  <c r="H9" i="7"/>
  <c r="I9" i="7" s="1"/>
  <c r="H8" i="7"/>
  <c r="I8" i="7" s="1"/>
  <c r="M42" i="2"/>
  <c r="W38" i="2" s="1"/>
  <c r="M15" i="1"/>
  <c r="AK73" i="8"/>
  <c r="AK72" i="8"/>
  <c r="AK59" i="8"/>
  <c r="AK50" i="8"/>
  <c r="AK43" i="8"/>
  <c r="AK9" i="8"/>
  <c r="AK7" i="8"/>
  <c r="Z52" i="8"/>
  <c r="Z45" i="8"/>
  <c r="O62" i="8"/>
  <c r="O60" i="8"/>
  <c r="O50" i="8"/>
  <c r="O47" i="8"/>
  <c r="O9" i="8"/>
  <c r="O25" i="8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P31" i="1"/>
  <c r="M9" i="2" s="1"/>
  <c r="W10" i="2" s="1"/>
  <c r="X10" i="2" s="1"/>
  <c r="P32" i="1"/>
  <c r="M7" i="2" s="1"/>
  <c r="W8" i="2" s="1"/>
  <c r="P33" i="1"/>
  <c r="P24" i="1"/>
  <c r="AJ27" i="8" s="1"/>
  <c r="AK27" i="8" s="1"/>
  <c r="P25" i="1"/>
  <c r="AJ64" i="8" s="1"/>
  <c r="AK64" i="8" s="1"/>
  <c r="P26" i="1"/>
  <c r="Y29" i="8" s="1"/>
  <c r="Z29" i="8" s="1"/>
  <c r="P27" i="1"/>
  <c r="AJ38" i="8" s="1"/>
  <c r="AK38" i="8" s="1"/>
  <c r="P28" i="1"/>
  <c r="AJ55" i="8" s="1"/>
  <c r="AK55" i="8" s="1"/>
  <c r="P29" i="1"/>
  <c r="Y15" i="8" s="1"/>
  <c r="Z15" i="8" s="1"/>
  <c r="AA14" i="8" s="1"/>
  <c r="AB13" i="8" s="1"/>
  <c r="P30" i="1"/>
  <c r="AJ56" i="8" s="1"/>
  <c r="AK56" i="8" s="1"/>
  <c r="P23" i="1"/>
  <c r="N8" i="8" s="1"/>
  <c r="O8" i="8" s="1"/>
  <c r="C24" i="1"/>
  <c r="E24" i="1" s="1"/>
  <c r="F24" i="1" s="1"/>
  <c r="L24" i="1" s="1"/>
  <c r="M24" i="1" s="1"/>
  <c r="C25" i="1"/>
  <c r="C26" i="1"/>
  <c r="C27" i="1"/>
  <c r="C28" i="1"/>
  <c r="C29" i="1"/>
  <c r="C30" i="1"/>
  <c r="C31" i="1"/>
  <c r="E31" i="1" s="1"/>
  <c r="F31" i="1" s="1"/>
  <c r="C32" i="1"/>
  <c r="E32" i="1" s="1"/>
  <c r="F32" i="1" s="1"/>
  <c r="L32" i="1" s="1"/>
  <c r="M32" i="1" s="1"/>
  <c r="C33" i="1"/>
  <c r="E33" i="1" s="1"/>
  <c r="F33" i="1" s="1"/>
  <c r="L33" i="1" s="1"/>
  <c r="M33" i="1" s="1"/>
  <c r="C23" i="1"/>
  <c r="E25" i="1"/>
  <c r="F25" i="1" s="1"/>
  <c r="L25" i="1" s="1"/>
  <c r="M25" i="1" s="1"/>
  <c r="E26" i="1"/>
  <c r="F26" i="1" s="1"/>
  <c r="L26" i="1" s="1"/>
  <c r="M26" i="1" s="1"/>
  <c r="E27" i="1"/>
  <c r="F27" i="1" s="1"/>
  <c r="L27" i="1" s="1"/>
  <c r="M27" i="1" s="1"/>
  <c r="E28" i="1"/>
  <c r="F28" i="1" s="1"/>
  <c r="L28" i="1" s="1"/>
  <c r="M28" i="1" s="1"/>
  <c r="E29" i="1"/>
  <c r="F29" i="1" s="1"/>
  <c r="L29" i="1" s="1"/>
  <c r="M29" i="1" s="1"/>
  <c r="E30" i="1"/>
  <c r="F30" i="1" s="1"/>
  <c r="L30" i="1" s="1"/>
  <c r="M30" i="1" s="1"/>
  <c r="E23" i="1"/>
  <c r="F23" i="1" s="1"/>
  <c r="L23" i="1" s="1"/>
  <c r="C12" i="6"/>
  <c r="D5" i="6"/>
  <c r="K5" i="6"/>
  <c r="L5" i="6" s="1"/>
  <c r="K15" i="6"/>
  <c r="L15" i="6" s="1"/>
  <c r="K14" i="6"/>
  <c r="K13" i="6"/>
  <c r="K12" i="6"/>
  <c r="K11" i="6"/>
  <c r="K9" i="6"/>
  <c r="K8" i="6"/>
  <c r="K7" i="6"/>
  <c r="K6" i="6"/>
  <c r="N42" i="2"/>
  <c r="N6" i="2"/>
  <c r="N8" i="2"/>
  <c r="N7" i="2"/>
  <c r="N9" i="2"/>
  <c r="N21" i="2"/>
  <c r="N20" i="2"/>
  <c r="M19" i="2"/>
  <c r="N19" i="2" s="1"/>
  <c r="O18" i="2" s="1"/>
  <c r="E26" i="10" s="1"/>
  <c r="H18" i="2"/>
  <c r="M17" i="2"/>
  <c r="N17" i="2" s="1"/>
  <c r="O16" i="2" s="1"/>
  <c r="J5" i="2"/>
  <c r="T6" i="2" s="1"/>
  <c r="J10" i="2"/>
  <c r="T11" i="2" s="1"/>
  <c r="H10" i="2"/>
  <c r="H5" i="2"/>
  <c r="E6" i="1"/>
  <c r="F6" i="1" s="1"/>
  <c r="K6" i="1" s="1"/>
  <c r="E7" i="1"/>
  <c r="E8" i="1"/>
  <c r="F8" i="1" s="1"/>
  <c r="K8" i="1" s="1"/>
  <c r="E9" i="1"/>
  <c r="F9" i="1" s="1"/>
  <c r="K9" i="1" s="1"/>
  <c r="E10" i="1"/>
  <c r="F10" i="1" s="1"/>
  <c r="K10" i="1" s="1"/>
  <c r="E11" i="1"/>
  <c r="F11" i="1" s="1"/>
  <c r="K11" i="1" s="1"/>
  <c r="E12" i="1"/>
  <c r="F12" i="1" s="1"/>
  <c r="K12" i="1" s="1"/>
  <c r="E13" i="1"/>
  <c r="F13" i="1" s="1"/>
  <c r="K13" i="1" s="1"/>
  <c r="E14" i="1"/>
  <c r="F14" i="1" s="1"/>
  <c r="K14" i="1" s="1"/>
  <c r="E15" i="1"/>
  <c r="F15" i="1" s="1"/>
  <c r="K15" i="1" s="1"/>
  <c r="E5" i="1"/>
  <c r="F5" i="1" s="1"/>
  <c r="K5" i="1" s="1"/>
  <c r="O15" i="2" l="1"/>
  <c r="N27" i="8"/>
  <c r="O27" i="8" s="1"/>
  <c r="AJ15" i="8"/>
  <c r="AK15" i="8" s="1"/>
  <c r="AJ37" i="8"/>
  <c r="AK37" i="8" s="1"/>
  <c r="AJ61" i="8"/>
  <c r="AK61" i="8" s="1"/>
  <c r="Y9" i="8"/>
  <c r="Z9" i="8" s="1"/>
  <c r="AJ8" i="8"/>
  <c r="AK8" i="8" s="1"/>
  <c r="J10" i="7"/>
  <c r="E20" i="10" s="1"/>
  <c r="N52" i="8"/>
  <c r="O52" i="8" s="1"/>
  <c r="AJ32" i="8"/>
  <c r="AK32" i="8" s="1"/>
  <c r="N17" i="8"/>
  <c r="O17" i="8" s="1"/>
  <c r="AJ41" i="8"/>
  <c r="AK41" i="8" s="1"/>
  <c r="N72" i="8"/>
  <c r="O72" i="8" s="1"/>
  <c r="P69" i="8" s="1"/>
  <c r="Q68" i="8" s="1"/>
  <c r="AJ19" i="8"/>
  <c r="AK19" i="8" s="1"/>
  <c r="AL12" i="8" s="1"/>
  <c r="Y34" i="8"/>
  <c r="Z34" i="8" s="1"/>
  <c r="AJ47" i="8"/>
  <c r="AK47" i="8" s="1"/>
  <c r="N33" i="8"/>
  <c r="O33" i="8" s="1"/>
  <c r="P32" i="8" s="1"/>
  <c r="Q31" i="8" s="1"/>
  <c r="AJ33" i="8"/>
  <c r="AK33" i="8" s="1"/>
  <c r="AL26" i="8" s="1"/>
  <c r="N51" i="8"/>
  <c r="O51" i="8" s="1"/>
  <c r="AJ24" i="8"/>
  <c r="AK24" i="8" s="1"/>
  <c r="Y58" i="8"/>
  <c r="Z58" i="8" s="1"/>
  <c r="AJ46" i="8"/>
  <c r="AK46" i="8" s="1"/>
  <c r="AJ65" i="8"/>
  <c r="AK65" i="8" s="1"/>
  <c r="Y51" i="8"/>
  <c r="Z51" i="8" s="1"/>
  <c r="AA47" i="8" s="1"/>
  <c r="AB46" i="8" s="1"/>
  <c r="Y31" i="8"/>
  <c r="Z31" i="8" s="1"/>
  <c r="AA27" i="8" s="1"/>
  <c r="AB26" i="8" s="1"/>
  <c r="AJ30" i="8"/>
  <c r="AK30" i="8" s="1"/>
  <c r="AJ71" i="8"/>
  <c r="AK71" i="8" s="1"/>
  <c r="N30" i="8"/>
  <c r="O30" i="8" s="1"/>
  <c r="P29" i="8" s="1"/>
  <c r="N70" i="8"/>
  <c r="O70" i="8" s="1"/>
  <c r="AJ62" i="8"/>
  <c r="AK62" i="8" s="1"/>
  <c r="N12" i="8"/>
  <c r="O12" i="8" s="1"/>
  <c r="P11" i="8" s="1"/>
  <c r="Q10" i="8" s="1"/>
  <c r="Y28" i="8"/>
  <c r="Z28" i="8" s="1"/>
  <c r="Y55" i="8"/>
  <c r="Z55" i="8" s="1"/>
  <c r="AJ17" i="8"/>
  <c r="AK17" i="8" s="1"/>
  <c r="Y56" i="8"/>
  <c r="Z56" i="8" s="1"/>
  <c r="AJ63" i="8"/>
  <c r="AK63" i="8" s="1"/>
  <c r="N71" i="8"/>
  <c r="O71" i="8" s="1"/>
  <c r="AJ53" i="8"/>
  <c r="AK53" i="8" s="1"/>
  <c r="AJ39" i="8"/>
  <c r="AK39" i="8" s="1"/>
  <c r="N66" i="8"/>
  <c r="O66" i="8" s="1"/>
  <c r="Y49" i="8"/>
  <c r="Z49" i="8" s="1"/>
  <c r="AJ69" i="8"/>
  <c r="AK69" i="8" s="1"/>
  <c r="N13" i="8"/>
  <c r="O13" i="8" s="1"/>
  <c r="N14" i="8"/>
  <c r="O14" i="8" s="1"/>
  <c r="N67" i="8"/>
  <c r="O67" i="8" s="1"/>
  <c r="Y57" i="8"/>
  <c r="Z57" i="8" s="1"/>
  <c r="AJ18" i="8"/>
  <c r="AK18" i="8" s="1"/>
  <c r="Y30" i="8"/>
  <c r="Z30" i="8" s="1"/>
  <c r="Y50" i="8"/>
  <c r="Z50" i="8" s="1"/>
  <c r="AJ70" i="8"/>
  <c r="AK70" i="8" s="1"/>
  <c r="AJ40" i="8"/>
  <c r="AK40" i="8" s="1"/>
  <c r="AJ54" i="8"/>
  <c r="AK54" i="8" s="1"/>
  <c r="AJ13" i="8"/>
  <c r="AK13" i="8" s="1"/>
  <c r="AJ49" i="8"/>
  <c r="AK49" i="8" s="1"/>
  <c r="Y23" i="8"/>
  <c r="Z23" i="8" s="1"/>
  <c r="AA22" i="8" s="1"/>
  <c r="AB21" i="8" s="1"/>
  <c r="AJ35" i="8"/>
  <c r="AK35" i="8" s="1"/>
  <c r="AL34" i="8" s="1"/>
  <c r="N41" i="8"/>
  <c r="O41" i="8" s="1"/>
  <c r="P40" i="8" s="1"/>
  <c r="Q39" i="8" s="1"/>
  <c r="N26" i="8"/>
  <c r="O26" i="8" s="1"/>
  <c r="N61" i="8"/>
  <c r="O61" i="8" s="1"/>
  <c r="Y24" i="8"/>
  <c r="Z24" i="8" s="1"/>
  <c r="AJ14" i="8"/>
  <c r="AK14" i="8" s="1"/>
  <c r="AJ28" i="8"/>
  <c r="AK28" i="8" s="1"/>
  <c r="AJ44" i="8"/>
  <c r="AK44" i="8" s="1"/>
  <c r="AJ60" i="8"/>
  <c r="AK60" i="8" s="1"/>
  <c r="J7" i="7"/>
  <c r="E19" i="10" s="1"/>
  <c r="J5" i="11"/>
  <c r="X8" i="2"/>
  <c r="Y6" i="2" s="1"/>
  <c r="Z5" i="2" s="1"/>
  <c r="E7" i="10" s="1"/>
  <c r="W17" i="2"/>
  <c r="X17" i="2" s="1"/>
  <c r="Y16" i="2" s="1"/>
  <c r="AK10" i="8"/>
  <c r="AL6" i="8" s="1"/>
  <c r="AM5" i="8" s="1"/>
  <c r="X15" i="2"/>
  <c r="Y14" i="2" s="1"/>
  <c r="X38" i="2"/>
  <c r="Y37" i="2" s="1"/>
  <c r="Z36" i="2" s="1"/>
  <c r="AL20" i="8"/>
  <c r="D12" i="6"/>
  <c r="AA33" i="8"/>
  <c r="AB32" i="8" s="1"/>
  <c r="AA42" i="8"/>
  <c r="AB41" i="8" s="1"/>
  <c r="P6" i="8"/>
  <c r="Q5" i="8" s="1"/>
  <c r="AA6" i="8"/>
  <c r="AB5" i="8" s="1"/>
  <c r="AB17" i="8" s="1"/>
  <c r="E15" i="10" s="1"/>
  <c r="P64" i="8"/>
  <c r="Q63" i="8" s="1"/>
  <c r="P59" i="8"/>
  <c r="Q58" i="8" s="1"/>
  <c r="P49" i="8"/>
  <c r="Q48" i="8" s="1"/>
  <c r="P45" i="8"/>
  <c r="Q44" i="8" s="1"/>
  <c r="Q28" i="8"/>
  <c r="P24" i="8"/>
  <c r="Q23" i="8" s="1"/>
  <c r="P16" i="8"/>
  <c r="Q15" i="8" s="1"/>
  <c r="O5" i="1"/>
  <c r="M5" i="1"/>
  <c r="O15" i="1"/>
  <c r="M14" i="1"/>
  <c r="O14" i="1"/>
  <c r="M13" i="1"/>
  <c r="O13" i="1"/>
  <c r="M12" i="1"/>
  <c r="O12" i="1"/>
  <c r="M11" i="1"/>
  <c r="O11" i="1"/>
  <c r="M10" i="1"/>
  <c r="O10" i="1"/>
  <c r="M9" i="1"/>
  <c r="O9" i="1"/>
  <c r="M8" i="1"/>
  <c r="O8" i="1"/>
  <c r="F7" i="1"/>
  <c r="M6" i="1"/>
  <c r="O6" i="1"/>
  <c r="K40" i="1"/>
  <c r="J16" i="6" s="1"/>
  <c r="K16" i="6" s="1"/>
  <c r="L16" i="6" s="1"/>
  <c r="L31" i="1"/>
  <c r="M31" i="1" s="1"/>
  <c r="F35" i="1"/>
  <c r="M23" i="1"/>
  <c r="K10" i="6"/>
  <c r="L10" i="6" s="1"/>
  <c r="F17" i="1"/>
  <c r="O41" i="2"/>
  <c r="O5" i="2"/>
  <c r="O4" i="2" s="1"/>
  <c r="L13" i="6"/>
  <c r="L9" i="6"/>
  <c r="L12" i="6"/>
  <c r="L14" i="6"/>
  <c r="L6" i="6"/>
  <c r="L11" i="6"/>
  <c r="L8" i="6"/>
  <c r="L7" i="6"/>
  <c r="Z13" i="2" l="1"/>
  <c r="E8" i="10" s="1"/>
  <c r="K6" i="7"/>
  <c r="K14" i="7" s="1"/>
  <c r="D8" i="9" s="1"/>
  <c r="K39" i="1"/>
  <c r="J17" i="6" s="1"/>
  <c r="K17" i="6" s="1"/>
  <c r="L17" i="6" s="1"/>
  <c r="L19" i="6" s="1"/>
  <c r="D7" i="5" s="1"/>
  <c r="Z40" i="2"/>
  <c r="D6" i="9" s="1"/>
  <c r="AL42" i="8"/>
  <c r="AM11" i="8" s="1"/>
  <c r="AL68" i="8"/>
  <c r="AM67" i="8" s="1"/>
  <c r="AL58" i="8"/>
  <c r="AL48" i="8"/>
  <c r="AA54" i="8"/>
  <c r="AB53" i="8" s="1"/>
  <c r="Q19" i="8"/>
  <c r="E11" i="10" s="1"/>
  <c r="K8" i="11"/>
  <c r="Q74" i="8"/>
  <c r="E14" i="10" s="1"/>
  <c r="AB60" i="8"/>
  <c r="E17" i="10" s="1"/>
  <c r="AB37" i="8"/>
  <c r="E16" i="10" s="1"/>
  <c r="Q54" i="8"/>
  <c r="E13" i="10" s="1"/>
  <c r="Q35" i="8"/>
  <c r="E12" i="10" s="1"/>
  <c r="M7" i="1"/>
  <c r="O7" i="1"/>
  <c r="O17" i="1" s="1"/>
  <c r="K17" i="1"/>
  <c r="M17" i="1"/>
  <c r="D6" i="5" s="1"/>
  <c r="L35" i="1"/>
  <c r="M35" i="1"/>
  <c r="D11" i="5" s="1"/>
  <c r="E23" i="10" l="1"/>
  <c r="E29" i="10" s="1"/>
  <c r="G23" i="10" s="1"/>
  <c r="D7" i="9"/>
  <c r="D11" i="9" s="1"/>
  <c r="D8" i="5"/>
  <c r="D9" i="5" s="1"/>
  <c r="D10" i="5" s="1"/>
  <c r="D12" i="5" s="1"/>
  <c r="G26" i="10" l="1"/>
  <c r="G29" i="10" s="1"/>
  <c r="G14" i="10" s="1"/>
  <c r="M16" i="10" s="1"/>
  <c r="G13" i="10" l="1"/>
  <c r="M15" i="10" s="1"/>
  <c r="G12" i="10"/>
  <c r="M14" i="10" s="1"/>
  <c r="G9" i="10"/>
  <c r="M11" i="10" s="1"/>
  <c r="G8" i="10"/>
  <c r="M10" i="10" s="1"/>
  <c r="G15" i="10"/>
  <c r="M17" i="10" s="1"/>
  <c r="G20" i="10"/>
  <c r="M22" i="10" s="1"/>
  <c r="G17" i="10"/>
  <c r="M19" i="10" s="1"/>
  <c r="G16" i="10"/>
  <c r="M18" i="10" s="1"/>
  <c r="G7" i="10"/>
  <c r="M9" i="10" s="1"/>
  <c r="G19" i="10"/>
  <c r="M21" i="10" s="1"/>
  <c r="G11" i="10"/>
  <c r="M13" i="10" s="1"/>
  <c r="N12" i="10" l="1"/>
  <c r="N29" i="10" s="1"/>
  <c r="N20" i="10"/>
  <c r="N30" i="10" s="1"/>
  <c r="N8" i="10"/>
  <c r="N28" i="10" s="1"/>
  <c r="H6" i="10"/>
  <c r="N24" i="10" l="1"/>
  <c r="N32" i="10"/>
</calcChain>
</file>

<file path=xl/sharedStrings.xml><?xml version="1.0" encoding="utf-8"?>
<sst xmlns="http://schemas.openxmlformats.org/spreadsheetml/2006/main" count="1167" uniqueCount="244">
  <si>
    <t>PERSONAL DE LA EMPRESA</t>
  </si>
  <si>
    <t>PRODUCTIVIDAD DEL PERSONAL</t>
  </si>
  <si>
    <t>Personal</t>
  </si>
  <si>
    <t>Núm.</t>
  </si>
  <si>
    <t>Sueldo Bruto año</t>
  </si>
  <si>
    <t>Coste Salarial Año</t>
  </si>
  <si>
    <t>TOTAL</t>
  </si>
  <si>
    <t>Prod(%)</t>
  </si>
  <si>
    <t>Coste Directo</t>
  </si>
  <si>
    <t>CI</t>
  </si>
  <si>
    <t>Coste indirecto</t>
  </si>
  <si>
    <t>Analista front-end</t>
  </si>
  <si>
    <t>Analista back-end</t>
  </si>
  <si>
    <t>Desarrollador senior android</t>
  </si>
  <si>
    <t>Desarrollador junior android</t>
  </si>
  <si>
    <t>Desarrollador iOS</t>
  </si>
  <si>
    <t>Desarrollador senior java</t>
  </si>
  <si>
    <t>Tester experto en Java</t>
  </si>
  <si>
    <t>Tester experto en plataformas móviles</t>
  </si>
  <si>
    <t>Arquitecto de software</t>
  </si>
  <si>
    <t>Analista de sistemas</t>
  </si>
  <si>
    <t>Director</t>
  </si>
  <si>
    <t>HORAS PRODUCTIVAS Y NO PRODUCTIVAS</t>
  </si>
  <si>
    <t>PRECIO HORA (coste y venta)</t>
  </si>
  <si>
    <t>Product.%</t>
  </si>
  <si>
    <t>Horas / año</t>
  </si>
  <si>
    <t>Horas productivas / año (por persona)</t>
  </si>
  <si>
    <t>Horas productivas (Total empresa)</t>
  </si>
  <si>
    <t>Precio / hora</t>
  </si>
  <si>
    <t>Facturación</t>
  </si>
  <si>
    <t>Precio/Hora (Sin Beneficios)</t>
  </si>
  <si>
    <t>Equipo análisis</t>
  </si>
  <si>
    <t>Equipo desarrollo</t>
  </si>
  <si>
    <t>COSTES INDIRECTOS</t>
  </si>
  <si>
    <t>COSTES MEDIOS DE PRODUCCIÓN</t>
  </si>
  <si>
    <t>Servicio</t>
  </si>
  <si>
    <t>Coste mes</t>
  </si>
  <si>
    <t>Coste año</t>
  </si>
  <si>
    <t>Equipo / Licencia</t>
  </si>
  <si>
    <t>Unidad</t>
  </si>
  <si>
    <t>Precio</t>
  </si>
  <si>
    <t>Coste total</t>
  </si>
  <si>
    <t>Tipo</t>
  </si>
  <si>
    <t>Plazo</t>
  </si>
  <si>
    <t>Costes de administración</t>
  </si>
  <si>
    <t>Portátil</t>
  </si>
  <si>
    <t>Amortización</t>
  </si>
  <si>
    <t>Costes financieros</t>
  </si>
  <si>
    <t>Tablet</t>
  </si>
  <si>
    <t>Equipos de sobremesa</t>
  </si>
  <si>
    <t>Switch de comunicaciones Gigabit</t>
  </si>
  <si>
    <t>Alquileres</t>
  </si>
  <si>
    <t>Router</t>
  </si>
  <si>
    <t>Puntos de red</t>
  </si>
  <si>
    <t>Asesoramiento jurídico</t>
  </si>
  <si>
    <t>Monitor 45"</t>
  </si>
  <si>
    <t>Recursos humanos</t>
  </si>
  <si>
    <t>Teléfonos VOIP</t>
  </si>
  <si>
    <t>Marketing</t>
  </si>
  <si>
    <t>Servidor central dimensionado</t>
  </si>
  <si>
    <t>Área de finanzas</t>
  </si>
  <si>
    <t>SAI</t>
  </si>
  <si>
    <t>RACK de discos duros</t>
  </si>
  <si>
    <t>Equipo de desarrollo</t>
  </si>
  <si>
    <t>Equipo de análisis</t>
  </si>
  <si>
    <t>Nº</t>
  </si>
  <si>
    <t>Concepto</t>
  </si>
  <si>
    <t>Importe</t>
  </si>
  <si>
    <t>Todos los costes directos</t>
  </si>
  <si>
    <t>Todos los costes indirectos</t>
  </si>
  <si>
    <t>Suma de los costes directos e indirectos</t>
  </si>
  <si>
    <t>Beneficio deseado (25%)</t>
  </si>
  <si>
    <t>Coste total (suma de los costes directos, indirectos y beneficios)</t>
  </si>
  <si>
    <t>Facturación posible en función de las horas de producción y de los precios por hora calculados</t>
  </si>
  <si>
    <t>Margen entre el coste total y la facturación</t>
  </si>
  <si>
    <t>Valoración económica del análisis</t>
  </si>
  <si>
    <t>Descripción de los recursos</t>
  </si>
  <si>
    <t>l1</t>
  </si>
  <si>
    <t>l2</t>
  </si>
  <si>
    <t>Descripción</t>
  </si>
  <si>
    <t>Cantidad</t>
  </si>
  <si>
    <t>Unidades</t>
  </si>
  <si>
    <t>Subtotal (2)</t>
  </si>
  <si>
    <t>Total</t>
  </si>
  <si>
    <t>Instalación hardware</t>
  </si>
  <si>
    <t>01</t>
  </si>
  <si>
    <t>Analisis</t>
  </si>
  <si>
    <t>l3</t>
  </si>
  <si>
    <t>Subtotal (3)</t>
  </si>
  <si>
    <t>Análisis</t>
  </si>
  <si>
    <t>Consultor de tecnología</t>
  </si>
  <si>
    <t>horas</t>
  </si>
  <si>
    <t>001</t>
  </si>
  <si>
    <t>Valoración de la infraestructura</t>
  </si>
  <si>
    <t>02</t>
  </si>
  <si>
    <t>002</t>
  </si>
  <si>
    <t>Estudio de mercado (hardware y software)</t>
  </si>
  <si>
    <t>03</t>
  </si>
  <si>
    <t>Jefe de Proyecto</t>
  </si>
  <si>
    <t>Puesta en marcha</t>
  </si>
  <si>
    <t>04</t>
  </si>
  <si>
    <t>Arquitecto de Software</t>
  </si>
  <si>
    <t>Contratación de personal</t>
  </si>
  <si>
    <t>Compra del hardware y software</t>
  </si>
  <si>
    <t>Instalacion infraestructura</t>
  </si>
  <si>
    <t>Instalación</t>
  </si>
  <si>
    <t>Valoración económica para la puesta en marcha</t>
  </si>
  <si>
    <t>Recursos Materiales</t>
  </si>
  <si>
    <t>Consultor de tecnologia</t>
  </si>
  <si>
    <t>Portatil</t>
  </si>
  <si>
    <t>RACK</t>
  </si>
  <si>
    <t>Empresa para transporte y colocación</t>
  </si>
  <si>
    <t>Equipo sobremesa</t>
  </si>
  <si>
    <t>Regletas armario</t>
  </si>
  <si>
    <t>Sensor tipo 1</t>
  </si>
  <si>
    <t>Jefe de proyecto</t>
  </si>
  <si>
    <t>Router wifi</t>
  </si>
  <si>
    <t>Sensor tipo TATOO</t>
  </si>
  <si>
    <t>uds</t>
  </si>
  <si>
    <t>Switch</t>
  </si>
  <si>
    <t>Servidor</t>
  </si>
  <si>
    <t>05</t>
  </si>
  <si>
    <t>Estanteria de fijacion</t>
  </si>
  <si>
    <t>06</t>
  </si>
  <si>
    <t>Teléfono IPVOID</t>
  </si>
  <si>
    <t>Cable UTP 6</t>
  </si>
  <si>
    <t>07</t>
  </si>
  <si>
    <t>Puntos de acceso a red</t>
  </si>
  <si>
    <t>08</t>
  </si>
  <si>
    <t>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</si>
  <si>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</si>
  <si>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</si>
  <si>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</si>
  <si>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</si>
  <si>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</si>
  <si>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</si>
  <si>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</si>
  <si>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</si>
  <si>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</si>
  <si>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</si>
  <si>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metros</t>
  </si>
  <si>
    <t>Instalación infraestructura</t>
  </si>
  <si>
    <t>Valoración económica para la Instalación de la infraestructura</t>
  </si>
  <si>
    <t>Tipo Actividad</t>
  </si>
  <si>
    <t>Desarrollo de software: Consulta del registro de historia</t>
  </si>
  <si>
    <t>Desarrollo de software: Gestión de sensores</t>
  </si>
  <si>
    <t>Desarrollo de la aplicación</t>
  </si>
  <si>
    <t>Estudios previos</t>
  </si>
  <si>
    <t xml:space="preserve">    Análisis e identificación de casos de uso</t>
  </si>
  <si>
    <t>Identificación y selección de los casos de uso</t>
  </si>
  <si>
    <t>Desarrollo del software</t>
  </si>
  <si>
    <t xml:space="preserve">    Identificación y selección de los casos de uso</t>
  </si>
  <si>
    <t xml:space="preserve">     Análisis e identificación de casos de uso</t>
  </si>
  <si>
    <t xml:space="preserve">    Consulta de registro de historia</t>
  </si>
  <si>
    <t xml:space="preserve">        Analista de back-end</t>
  </si>
  <si>
    <t xml:space="preserve">         Consultor de tecnología</t>
  </si>
  <si>
    <t xml:space="preserve">        Identificación y selección de los casos de uso</t>
  </si>
  <si>
    <t xml:space="preserve">        Analista de front-end</t>
  </si>
  <si>
    <t xml:space="preserve">         Analista de sistemas</t>
  </si>
  <si>
    <t xml:space="preserve">        Consulta de registro de historia</t>
  </si>
  <si>
    <t>Desarrollo</t>
  </si>
  <si>
    <t xml:space="preserve">        Analista de sistemas</t>
  </si>
  <si>
    <t xml:space="preserve">         Jefe de proyecto</t>
  </si>
  <si>
    <t xml:space="preserve">        Integración</t>
  </si>
  <si>
    <t>Integración</t>
  </si>
  <si>
    <t>Consulta de registro de historia</t>
  </si>
  <si>
    <t>Gestión de sensores</t>
  </si>
  <si>
    <t xml:space="preserve">         Arquitecto de software</t>
  </si>
  <si>
    <t xml:space="preserve">    Gestión de usuarios</t>
  </si>
  <si>
    <t xml:space="preserve">    Gestión de sensores</t>
  </si>
  <si>
    <t xml:space="preserve">        Desarrollador iOS</t>
  </si>
  <si>
    <t xml:space="preserve">        Desarrollador senior java</t>
  </si>
  <si>
    <t xml:space="preserve">        Gestión de usuarios</t>
  </si>
  <si>
    <t xml:space="preserve">        Desarrollador junior android</t>
  </si>
  <si>
    <t xml:space="preserve">        Desarrollador senior android</t>
  </si>
  <si>
    <t xml:space="preserve">    Prueba e integración del módulo</t>
  </si>
  <si>
    <t>003</t>
  </si>
  <si>
    <t xml:space="preserve">        Tester experto en Java</t>
  </si>
  <si>
    <t xml:space="preserve">      Identificación y selección de los casos de uso</t>
  </si>
  <si>
    <t xml:space="preserve">        Tester experto en plataformas móviles</t>
  </si>
  <si>
    <t>004</t>
  </si>
  <si>
    <t xml:space="preserve">    Gestión del transporte</t>
  </si>
  <si>
    <t>Desarrollo de software: Dashboard</t>
  </si>
  <si>
    <t xml:space="preserve">        Gestión del transporte</t>
  </si>
  <si>
    <t>Desarrollo de software: Gestión de usuarios</t>
  </si>
  <si>
    <t>005</t>
  </si>
  <si>
    <t xml:space="preserve">        Gestión de sensores</t>
  </si>
  <si>
    <t xml:space="preserve">       Tester experto en java</t>
  </si>
  <si>
    <t>Dashboard</t>
  </si>
  <si>
    <t>006</t>
  </si>
  <si>
    <t xml:space="preserve">    Dashboard</t>
  </si>
  <si>
    <t>Gestión de usuarios</t>
  </si>
  <si>
    <t xml:space="preserve">        Dashboard</t>
  </si>
  <si>
    <t>007</t>
  </si>
  <si>
    <t xml:space="preserve">    Integración con sistemas centrales</t>
  </si>
  <si>
    <t xml:space="preserve">        Integración con sistemas centrales</t>
  </si>
  <si>
    <t xml:space="preserve">        Tester experto en java</t>
  </si>
  <si>
    <t>Implantación y puesta en marcha</t>
  </si>
  <si>
    <t xml:space="preserve">    Implantación y puesta en marcha</t>
  </si>
  <si>
    <t>Implantación</t>
  </si>
  <si>
    <t>Desarrollo de software: Integración con sistemas centrales</t>
  </si>
  <si>
    <t>Integración con sistemas centrales</t>
  </si>
  <si>
    <t>Desarrollo de software: Gestión del transporte</t>
  </si>
  <si>
    <t>Gestión del transporte</t>
  </si>
  <si>
    <t xml:space="preserve">    Implementación y puesta en marcha</t>
  </si>
  <si>
    <t xml:space="preserve">        Jefe de proyecto</t>
  </si>
  <si>
    <t>Formación</t>
  </si>
  <si>
    <t>Formación para mantenimiento del sistema</t>
  </si>
  <si>
    <t>Elaboración de documentación asociada al sistema</t>
  </si>
  <si>
    <t>Arquitecto del software</t>
  </si>
  <si>
    <t>hora</t>
  </si>
  <si>
    <t>Formador</t>
  </si>
  <si>
    <t>Formación del personal</t>
  </si>
  <si>
    <t>Consultor Tecnología</t>
  </si>
  <si>
    <t>Presupuesto de costes</t>
  </si>
  <si>
    <t>Cod.</t>
  </si>
  <si>
    <t>Partida</t>
  </si>
  <si>
    <t>Adquisición e Instalación</t>
  </si>
  <si>
    <t>Total Coste</t>
  </si>
  <si>
    <t>Ponderación de costes</t>
  </si>
  <si>
    <t>Presupuesto de cliente (detallado)</t>
  </si>
  <si>
    <t>Item</t>
  </si>
  <si>
    <t>Instalación Infraestructura</t>
  </si>
  <si>
    <t>Consulta del registro de historia</t>
  </si>
  <si>
    <t>Presup. Costes</t>
  </si>
  <si>
    <t>Valor a promediar</t>
  </si>
  <si>
    <t>TOTAL CLIENTE</t>
  </si>
  <si>
    <t>Beneficio (25%)</t>
  </si>
  <si>
    <t>total</t>
  </si>
  <si>
    <t>Presupuesto de cliente (resumido)</t>
  </si>
  <si>
    <t>porcentaje</t>
  </si>
  <si>
    <t>Compra Hardware</t>
  </si>
  <si>
    <t>Otros costes</t>
  </si>
  <si>
    <t>Viajes y dietas</t>
  </si>
  <si>
    <t>Viajes (km. 30 Km diarios x 20 días x 5 personas)</t>
  </si>
  <si>
    <t>km</t>
  </si>
  <si>
    <t>Dietas (5 personas x 20 días)</t>
  </si>
  <si>
    <t>dietas</t>
  </si>
  <si>
    <t>Otros Costes</t>
  </si>
  <si>
    <t>Bluetooth</t>
  </si>
  <si>
    <t>Desarrollo de software: Bluetooth</t>
  </si>
  <si>
    <t xml:space="preserve">    Bluetooth</t>
  </si>
  <si>
    <t xml:space="preserve">        Desarrollador experto en Bluetooth</t>
  </si>
  <si>
    <t xml:space="preserve">      Bluetooth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</si>
</sst>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(* #,##0.00_);_(* \(#,##0.00\);_(* &quot;-&quot;??_);_(@_)"/>
    <numFmt numFmtId="167" formatCode="_-* #,##0.00\ _€_-;\-* #,##0.00\ _€_-;_-* &quot;-&quot;??\ _€_-;_-@_-"/>
    <numFmt numFmtId="168" formatCode="_([$€-2]\ * #,##0.00_);_([$€-2]\ * \(#,##0.00\);_([$€-2]\ * &quot;-&quot;??_);_(@_)"/>
    <numFmt numFmtId="169" formatCode="_ * #,##0.00_)\ [$€-1]_ ;_ * \(#,##0.00\)\ [$€-1]_ ;_ * &quot;-&quot;??_)\ [$€-1]_ ;_ @_ "/>
    <numFmt numFmtId="170" formatCode="#,##0.00\ [$€-1]"/>
    <numFmt numFmtId="171" formatCode="#,##0.00\ [$€-1];[Red]\-#,##0.00\ [$€-1]"/>
  </numFmts>
  <fonts count="17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6">
    <xf numFmtId="0" fontId="0" fillId="0" borderId="0" xfId="0"/>
    <xf numFmtId="168" fontId="0" fillId="0" borderId="0" xfId="0" applyNumberFormat="1" applyAlignment="1">
      <alignment horizontal="left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9" fontId="2" fillId="3" borderId="5" xfId="0" applyNumberFormat="1" applyFont="1" applyFill="1" applyBorder="1" applyAlignment="1">
      <alignment wrapText="1"/>
    </xf>
    <xf numFmtId="169" fontId="3" fillId="3" borderId="5" xfId="0" applyNumberFormat="1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49" fontId="0" fillId="0" borderId="0" xfId="0" applyNumberFormat="1"/>
    <xf numFmtId="0" fontId="6" fillId="0" borderId="7" xfId="0" applyFont="1" applyBorder="1"/>
    <xf numFmtId="49" fontId="0" fillId="0" borderId="7" xfId="0" applyNumberFormat="1" applyBorder="1"/>
    <xf numFmtId="0" fontId="5" fillId="0" borderId="7" xfId="0" applyFont="1" applyBorder="1" applyAlignment="1">
      <alignment wrapText="1"/>
    </xf>
    <xf numFmtId="0" fontId="0" fillId="0" borderId="7" xfId="0" applyBorder="1"/>
    <xf numFmtId="0" fontId="4" fillId="0" borderId="7" xfId="0" applyFont="1" applyBorder="1" applyAlignment="1">
      <alignment wrapText="1"/>
    </xf>
    <xf numFmtId="49" fontId="4" fillId="4" borderId="8" xfId="0" applyNumberFormat="1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8" fillId="0" borderId="7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/>
    <xf numFmtId="49" fontId="0" fillId="0" borderId="9" xfId="0" applyNumberFormat="1" applyBorder="1"/>
    <xf numFmtId="0" fontId="0" fillId="0" borderId="9" xfId="0" applyBorder="1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7" fillId="0" borderId="8" xfId="0" applyFon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7" fillId="0" borderId="17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170" fontId="0" fillId="0" borderId="8" xfId="0" applyNumberFormat="1" applyBorder="1"/>
    <xf numFmtId="170" fontId="6" fillId="0" borderId="7" xfId="0" applyNumberFormat="1" applyFon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9" xfId="0" applyBorder="1"/>
    <xf numFmtId="0" fontId="8" fillId="0" borderId="19" xfId="0" applyFont="1" applyBorder="1"/>
    <xf numFmtId="0" fontId="9" fillId="0" borderId="0" xfId="0" applyFont="1"/>
    <xf numFmtId="0" fontId="2" fillId="3" borderId="5" xfId="0" applyNumberFormat="1" applyFont="1" applyFill="1" applyBorder="1" applyAlignment="1">
      <alignment wrapText="1"/>
    </xf>
    <xf numFmtId="10" fontId="2" fillId="3" borderId="5" xfId="0" applyNumberFormat="1" applyFont="1" applyFill="1" applyBorder="1" applyAlignment="1">
      <alignment wrapText="1"/>
    </xf>
    <xf numFmtId="165" fontId="2" fillId="3" borderId="5" xfId="0" applyNumberFormat="1" applyFont="1" applyFill="1" applyBorder="1" applyAlignment="1">
      <alignment wrapText="1"/>
    </xf>
    <xf numFmtId="165" fontId="3" fillId="3" borderId="5" xfId="0" applyNumberFormat="1" applyFont="1" applyFill="1" applyBorder="1" applyAlignment="1">
      <alignment wrapText="1"/>
    </xf>
    <xf numFmtId="0" fontId="3" fillId="3" borderId="5" xfId="0" applyNumberFormat="1" applyFont="1" applyFill="1" applyBorder="1" applyAlignment="1">
      <alignment wrapText="1"/>
    </xf>
    <xf numFmtId="167" fontId="3" fillId="3" borderId="5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0" fillId="0" borderId="0" xfId="0" applyFont="1"/>
    <xf numFmtId="0" fontId="0" fillId="0" borderId="21" xfId="0" applyBorder="1"/>
    <xf numFmtId="165" fontId="0" fillId="0" borderId="21" xfId="0" applyNumberFormat="1" applyBorder="1"/>
    <xf numFmtId="0" fontId="1" fillId="2" borderId="22" xfId="0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wrapText="1"/>
    </xf>
    <xf numFmtId="165" fontId="3" fillId="3" borderId="6" xfId="0" applyNumberFormat="1" applyFont="1" applyFill="1" applyBorder="1" applyAlignment="1">
      <alignment wrapText="1"/>
    </xf>
    <xf numFmtId="49" fontId="4" fillId="4" borderId="7" xfId="0" applyNumberFormat="1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166" fontId="1" fillId="2" borderId="4" xfId="0" applyNumberFormat="1" applyFont="1" applyFill="1" applyBorder="1" applyAlignment="1">
      <alignment wrapText="1"/>
    </xf>
    <xf numFmtId="49" fontId="0" fillId="0" borderId="13" xfId="0" applyNumberFormat="1" applyBorder="1"/>
    <xf numFmtId="0" fontId="0" fillId="0" borderId="0" xfId="0" quotePrefix="1"/>
    <xf numFmtId="0" fontId="0" fillId="0" borderId="21" xfId="0" quotePrefix="1" applyBorder="1"/>
    <xf numFmtId="0" fontId="6" fillId="0" borderId="21" xfId="0" applyFont="1" applyBorder="1"/>
    <xf numFmtId="0" fontId="0" fillId="0" borderId="26" xfId="0" quotePrefix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quotePrefix="1" applyBorder="1"/>
    <xf numFmtId="0" fontId="0" fillId="0" borderId="29" xfId="0" applyBorder="1"/>
    <xf numFmtId="0" fontId="0" fillId="0" borderId="30" xfId="0" applyBorder="1"/>
    <xf numFmtId="0" fontId="0" fillId="0" borderId="31" xfId="0" quotePrefix="1" applyBorder="1"/>
    <xf numFmtId="0" fontId="0" fillId="0" borderId="32" xfId="0" applyBorder="1"/>
    <xf numFmtId="0" fontId="6" fillId="0" borderId="32" xfId="0" applyFont="1" applyBorder="1"/>
    <xf numFmtId="0" fontId="0" fillId="0" borderId="33" xfId="0" applyBorder="1"/>
    <xf numFmtId="0" fontId="8" fillId="0" borderId="35" xfId="0" applyFont="1" applyBorder="1"/>
    <xf numFmtId="0" fontId="8" fillId="0" borderId="36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0" xfId="0" applyNumberFormat="1"/>
    <xf numFmtId="0" fontId="0" fillId="0" borderId="37" xfId="0" applyFill="1" applyBorder="1"/>
    <xf numFmtId="0" fontId="0" fillId="0" borderId="38" xfId="0" applyFill="1" applyBorder="1"/>
    <xf numFmtId="165" fontId="0" fillId="0" borderId="29" xfId="0" applyNumberFormat="1" applyBorder="1"/>
    <xf numFmtId="165" fontId="6" fillId="0" borderId="27" xfId="0" applyNumberFormat="1" applyFont="1" applyBorder="1"/>
    <xf numFmtId="165" fontId="6" fillId="0" borderId="33" xfId="0" applyNumberFormat="1" applyFont="1" applyBorder="1"/>
    <xf numFmtId="165" fontId="8" fillId="0" borderId="36" xfId="0" applyNumberFormat="1" applyFont="1" applyBorder="1"/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/>
    <xf numFmtId="0" fontId="0" fillId="0" borderId="24" xfId="0" applyBorder="1"/>
    <xf numFmtId="0" fontId="6" fillId="0" borderId="24" xfId="0" applyFont="1" applyBorder="1"/>
    <xf numFmtId="165" fontId="6" fillId="0" borderId="25" xfId="0" applyNumberFormat="1" applyFont="1" applyBorder="1"/>
    <xf numFmtId="0" fontId="0" fillId="0" borderId="46" xfId="0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32" xfId="0" applyNumberFormat="1" applyBorder="1"/>
    <xf numFmtId="0" fontId="0" fillId="0" borderId="50" xfId="0" applyBorder="1"/>
    <xf numFmtId="165" fontId="0" fillId="0" borderId="50" xfId="0" applyNumberFormat="1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0" xfId="0" quotePrefix="1" applyBorder="1" applyAlignment="1">
      <alignment horizontal="center"/>
    </xf>
    <xf numFmtId="0" fontId="0" fillId="0" borderId="23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170" fontId="6" fillId="0" borderId="12" xfId="0" applyNumberFormat="1" applyFont="1" applyBorder="1"/>
    <xf numFmtId="170" fontId="0" fillId="0" borderId="14" xfId="0" applyNumberFormat="1" applyBorder="1"/>
    <xf numFmtId="170" fontId="6" fillId="0" borderId="13" xfId="0" applyNumberFormat="1" applyFont="1" applyBorder="1"/>
    <xf numFmtId="170" fontId="0" fillId="0" borderId="11" xfId="0" applyNumberFormat="1" applyBorder="1"/>
    <xf numFmtId="170" fontId="0" fillId="0" borderId="7" xfId="0" applyNumberFormat="1" applyBorder="1"/>
    <xf numFmtId="170" fontId="0" fillId="0" borderId="13" xfId="0" applyNumberFormat="1" applyBorder="1"/>
    <xf numFmtId="49" fontId="13" fillId="4" borderId="8" xfId="0" applyNumberFormat="1" applyFont="1" applyFill="1" applyBorder="1" applyAlignment="1">
      <alignment wrapText="1"/>
    </xf>
    <xf numFmtId="0" fontId="14" fillId="3" borderId="5" xfId="0" applyFont="1" applyFill="1" applyBorder="1" applyAlignment="1">
      <alignment wrapText="1"/>
    </xf>
    <xf numFmtId="165" fontId="14" fillId="3" borderId="5" xfId="0" applyNumberFormat="1" applyFont="1" applyFill="1" applyBorder="1" applyAlignment="1">
      <alignment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0" fillId="0" borderId="52" xfId="0" applyBorder="1"/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4" xfId="0" applyFont="1" applyBorder="1"/>
    <xf numFmtId="0" fontId="8" fillId="0" borderId="55" xfId="0" applyFont="1" applyBorder="1"/>
    <xf numFmtId="49" fontId="6" fillId="0" borderId="9" xfId="0" applyNumberFormat="1" applyFont="1" applyBorder="1"/>
    <xf numFmtId="0" fontId="6" fillId="0" borderId="9" xfId="0" applyFont="1" applyBorder="1"/>
    <xf numFmtId="0" fontId="6" fillId="0" borderId="52" xfId="0" applyFont="1" applyBorder="1"/>
    <xf numFmtId="49" fontId="6" fillId="0" borderId="52" xfId="0" applyNumberFormat="1" applyFon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quotePrefix="1" applyBorder="1" applyAlignment="1">
      <alignment horizontal="center"/>
    </xf>
    <xf numFmtId="0" fontId="6" fillId="0" borderId="0" xfId="0" applyFont="1" applyBorder="1"/>
    <xf numFmtId="165" fontId="6" fillId="0" borderId="0" xfId="0" applyNumberFormat="1" applyFont="1" applyBorder="1"/>
    <xf numFmtId="0" fontId="0" fillId="0" borderId="48" xfId="0" applyBorder="1"/>
    <xf numFmtId="0" fontId="0" fillId="0" borderId="56" xfId="0" applyBorder="1"/>
    <xf numFmtId="170" fontId="6" fillId="0" borderId="9" xfId="0" applyNumberFormat="1" applyFont="1" applyBorder="1"/>
    <xf numFmtId="0" fontId="8" fillId="0" borderId="58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8" fillId="0" borderId="59" xfId="0" applyFont="1" applyBorder="1"/>
    <xf numFmtId="0" fontId="8" fillId="0" borderId="60" xfId="0" applyFont="1" applyBorder="1"/>
    <xf numFmtId="0" fontId="0" fillId="0" borderId="0" xfId="0" applyFill="1"/>
    <xf numFmtId="0" fontId="5" fillId="0" borderId="8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165" fontId="6" fillId="0" borderId="21" xfId="0" applyNumberFormat="1" applyFont="1" applyBorder="1"/>
    <xf numFmtId="0" fontId="0" fillId="0" borderId="64" xfId="0" applyBorder="1" applyAlignment="1">
      <alignment horizontal="center"/>
    </xf>
    <xf numFmtId="0" fontId="0" fillId="0" borderId="64" xfId="0" applyBorder="1"/>
    <xf numFmtId="0" fontId="0" fillId="0" borderId="65" xfId="0" applyBorder="1"/>
    <xf numFmtId="49" fontId="0" fillId="0" borderId="65" xfId="0" applyNumberFormat="1" applyBorder="1"/>
    <xf numFmtId="49" fontId="6" fillId="0" borderId="65" xfId="0" applyNumberFormat="1" applyFont="1" applyBorder="1"/>
    <xf numFmtId="49" fontId="0" fillId="0" borderId="66" xfId="0" applyNumberFormat="1" applyBorder="1"/>
    <xf numFmtId="0" fontId="0" fillId="0" borderId="67" xfId="0" applyBorder="1" applyAlignment="1">
      <alignment horizontal="center"/>
    </xf>
    <xf numFmtId="0" fontId="0" fillId="0" borderId="68" xfId="0" applyBorder="1"/>
    <xf numFmtId="49" fontId="12" fillId="2" borderId="4" xfId="0" applyNumberFormat="1" applyFont="1" applyFill="1" applyBorder="1" applyAlignment="1">
      <alignment horizontal="center" wrapText="1"/>
    </xf>
    <xf numFmtId="49" fontId="12" fillId="2" borderId="3" xfId="0" applyNumberFormat="1" applyFont="1" applyFill="1" applyBorder="1" applyAlignment="1">
      <alignment horizontal="center" wrapText="1"/>
    </xf>
    <xf numFmtId="49" fontId="14" fillId="3" borderId="7" xfId="0" applyNumberFormat="1" applyFont="1" applyFill="1" applyBorder="1" applyAlignment="1">
      <alignment wrapText="1"/>
    </xf>
    <xf numFmtId="165" fontId="14" fillId="3" borderId="7" xfId="0" applyNumberFormat="1" applyFont="1" applyFill="1" applyBorder="1" applyAlignment="1">
      <alignment wrapText="1"/>
    </xf>
    <xf numFmtId="49" fontId="14" fillId="3" borderId="7" xfId="0" quotePrefix="1" applyNumberFormat="1" applyFont="1" applyFill="1" applyBorder="1" applyAlignment="1">
      <alignment wrapText="1"/>
    </xf>
    <xf numFmtId="49" fontId="12" fillId="2" borderId="7" xfId="0" applyNumberFormat="1" applyFont="1" applyFill="1" applyBorder="1" applyAlignment="1">
      <alignment horizontal="center" wrapText="1"/>
    </xf>
    <xf numFmtId="165" fontId="15" fillId="3" borderId="7" xfId="0" applyNumberFormat="1" applyFont="1" applyFill="1" applyBorder="1" applyAlignment="1">
      <alignment wrapText="1"/>
    </xf>
    <xf numFmtId="165" fontId="6" fillId="0" borderId="7" xfId="0" applyNumberFormat="1" applyFont="1" applyBorder="1"/>
    <xf numFmtId="0" fontId="8" fillId="0" borderId="69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8" fillId="0" borderId="70" xfId="0" applyFont="1" applyBorder="1"/>
    <xf numFmtId="0" fontId="8" fillId="0" borderId="71" xfId="0" applyFont="1" applyBorder="1"/>
    <xf numFmtId="0" fontId="0" fillId="0" borderId="72" xfId="0" applyBorder="1"/>
    <xf numFmtId="49" fontId="0" fillId="0" borderId="64" xfId="0" applyNumberFormat="1" applyBorder="1"/>
    <xf numFmtId="49" fontId="0" fillId="0" borderId="11" xfId="0" applyNumberFormat="1" applyBorder="1"/>
    <xf numFmtId="0" fontId="6" fillId="0" borderId="14" xfId="0" applyFont="1" applyBorder="1"/>
    <xf numFmtId="0" fontId="0" fillId="0" borderId="73" xfId="0" applyBorder="1"/>
    <xf numFmtId="170" fontId="0" fillId="0" borderId="73" xfId="0" applyNumberFormat="1" applyBorder="1"/>
    <xf numFmtId="170" fontId="6" fillId="0" borderId="20" xfId="0" applyNumberFormat="1" applyFont="1" applyBorder="1"/>
    <xf numFmtId="49" fontId="0" fillId="0" borderId="75" xfId="0" applyNumberFormat="1" applyBorder="1"/>
    <xf numFmtId="0" fontId="5" fillId="0" borderId="76" xfId="0" applyFont="1" applyBorder="1" applyAlignment="1">
      <alignment wrapText="1"/>
    </xf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13" fillId="4" borderId="80" xfId="0" applyNumberFormat="1" applyFont="1" applyFill="1" applyBorder="1" applyAlignment="1">
      <alignment wrapText="1"/>
    </xf>
    <xf numFmtId="0" fontId="13" fillId="0" borderId="80" xfId="0" applyFont="1" applyBorder="1" applyAlignment="1">
      <alignment wrapText="1"/>
    </xf>
    <xf numFmtId="0" fontId="6" fillId="0" borderId="34" xfId="0" applyFont="1" applyBorder="1"/>
    <xf numFmtId="165" fontId="6" fillId="0" borderId="36" xfId="0" applyNumberFormat="1" applyFont="1" applyBorder="1"/>
    <xf numFmtId="170" fontId="6" fillId="0" borderId="72" xfId="0" applyNumberFormat="1" applyFont="1" applyBorder="1"/>
    <xf numFmtId="170" fontId="6" fillId="0" borderId="81" xfId="0" applyNumberFormat="1" applyFont="1" applyBorder="1"/>
    <xf numFmtId="165" fontId="6" fillId="5" borderId="21" xfId="0" applyNumberFormat="1" applyFont="1" applyFill="1" applyBorder="1"/>
    <xf numFmtId="0" fontId="16" fillId="0" borderId="8" xfId="0" applyFont="1" applyBorder="1" applyAlignment="1">
      <alignment wrapText="1"/>
    </xf>
    <xf numFmtId="49" fontId="4" fillId="4" borderId="11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170" fontId="0" fillId="0" borderId="21" xfId="0" applyNumberFormat="1" applyBorder="1"/>
    <xf numFmtId="170" fontId="0" fillId="0" borderId="29" xfId="0" applyNumberFormat="1" applyBorder="1"/>
    <xf numFmtId="165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165" fontId="0" fillId="0" borderId="48" xfId="0" applyNumberFormat="1" applyBorder="1" applyAlignment="1">
      <alignment horizontal="right"/>
    </xf>
    <xf numFmtId="164" fontId="0" fillId="0" borderId="82" xfId="0" applyNumberFormat="1" applyBorder="1" applyAlignment="1">
      <alignment horizontal="right"/>
    </xf>
    <xf numFmtId="49" fontId="6" fillId="0" borderId="74" xfId="0" applyNumberFormat="1" applyFont="1" applyBorder="1"/>
    <xf numFmtId="49" fontId="5" fillId="4" borderId="8" xfId="0" applyNumberFormat="1" applyFont="1" applyFill="1" applyBorder="1" applyAlignment="1">
      <alignment wrapText="1"/>
    </xf>
    <xf numFmtId="49" fontId="16" fillId="4" borderId="8" xfId="0" applyNumberFormat="1" applyFont="1" applyFill="1" applyBorder="1" applyAlignment="1">
      <alignment wrapText="1"/>
    </xf>
    <xf numFmtId="165" fontId="15" fillId="3" borderId="8" xfId="0" applyNumberFormat="1" applyFont="1" applyFill="1" applyBorder="1" applyAlignment="1">
      <alignment wrapText="1"/>
    </xf>
    <xf numFmtId="165" fontId="14" fillId="3" borderId="8" xfId="0" applyNumberFormat="1" applyFont="1" applyFill="1" applyBorder="1" applyAlignment="1">
      <alignment wrapText="1"/>
    </xf>
    <xf numFmtId="10" fontId="0" fillId="0" borderId="0" xfId="0" applyNumberFormat="1"/>
    <xf numFmtId="10" fontId="0" fillId="0" borderId="7" xfId="0" applyNumberFormat="1" applyBorder="1"/>
    <xf numFmtId="0" fontId="12" fillId="2" borderId="9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wrapText="1"/>
    </xf>
    <xf numFmtId="49" fontId="14" fillId="0" borderId="0" xfId="0" quotePrefix="1" applyNumberFormat="1" applyFont="1" applyFill="1" applyBorder="1" applyAlignment="1">
      <alignment wrapText="1"/>
    </xf>
    <xf numFmtId="0" fontId="0" fillId="0" borderId="0" xfId="0" applyBorder="1" applyAlignment="1"/>
    <xf numFmtId="0" fontId="6" fillId="0" borderId="7" xfId="0" applyFont="1" applyBorder="1" applyAlignment="1">
      <alignment horizontal="center"/>
    </xf>
    <xf numFmtId="0" fontId="12" fillId="2" borderId="4" xfId="0" applyFont="1" applyFill="1" applyBorder="1" applyAlignment="1">
      <alignment wrapText="1"/>
    </xf>
    <xf numFmtId="170" fontId="14" fillId="3" borderId="5" xfId="0" applyNumberFormat="1" applyFont="1" applyFill="1" applyBorder="1" applyAlignment="1">
      <alignment wrapText="1"/>
    </xf>
    <xf numFmtId="170" fontId="15" fillId="3" borderId="5" xfId="0" applyNumberFormat="1" applyFont="1" applyFill="1" applyBorder="1" applyAlignment="1">
      <alignment wrapText="1"/>
    </xf>
    <xf numFmtId="0" fontId="0" fillId="0" borderId="0" xfId="0" applyFont="1"/>
    <xf numFmtId="0" fontId="2" fillId="0" borderId="80" xfId="0" applyFont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center" wrapText="1"/>
    </xf>
    <xf numFmtId="0" fontId="8" fillId="0" borderId="61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39" xfId="0" applyFont="1" applyBorder="1" applyAlignment="1">
      <alignment horizontal="right"/>
    </xf>
    <xf numFmtId="0" fontId="8" fillId="0" borderId="40" xfId="0" applyFont="1" applyBorder="1" applyAlignment="1">
      <alignment horizontal="right"/>
    </xf>
    <xf numFmtId="0" fontId="8" fillId="0" borderId="42" xfId="0" applyFont="1" applyBorder="1" applyAlignment="1">
      <alignment horizontal="right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6" fillId="5" borderId="21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6" fillId="0" borderId="57" xfId="0" applyFont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71" fontId="0" fillId="0" borderId="0" xfId="0" applyNumberFormat="1"/>
    <xf numFmtId="171" fontId="6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G1" workbookViewId="0">
      <selection activeCell="K34" sqref="K34"/>
    </sheetView>
  </sheetViews>
  <sheetFormatPr baseColWidth="10" defaultColWidth="8.85546875" defaultRowHeight="15" x14ac:dyDescent="0.25"/>
  <cols>
    <col min="2" max="2" width="37.28515625" customWidth="1"/>
    <col min="3" max="3" width="11.5703125" customWidth="1"/>
    <col min="4" max="4" width="15.7109375" customWidth="1"/>
    <col min="5" max="5" width="26.42578125" customWidth="1"/>
    <col min="6" max="6" width="19.140625" customWidth="1"/>
    <col min="10" max="10" width="37.42578125" customWidth="1"/>
    <col min="11" max="11" width="20.85546875" customWidth="1"/>
    <col min="12" max="12" width="19.5703125" customWidth="1"/>
    <col min="13" max="13" width="16.42578125" customWidth="1"/>
    <col min="15" max="15" width="16" customWidth="1"/>
    <col min="16" max="16" width="28.140625" customWidth="1"/>
  </cols>
  <sheetData>
    <row r="2" spans="2:15" x14ac:dyDescent="0.25">
      <c r="B2" t="s">
        <v>0</v>
      </c>
      <c r="J2" t="s">
        <v>1</v>
      </c>
    </row>
    <row r="4" spans="2:15" ht="31.5" x14ac:dyDescent="0.25">
      <c r="B4" s="9" t="s">
        <v>2</v>
      </c>
      <c r="C4" s="7" t="s">
        <v>3</v>
      </c>
      <c r="D4" s="8" t="s">
        <v>4</v>
      </c>
      <c r="E4" s="8" t="s">
        <v>5</v>
      </c>
      <c r="F4" s="8" t="s">
        <v>6</v>
      </c>
      <c r="J4" s="9" t="s">
        <v>2</v>
      </c>
      <c r="K4" s="7" t="s">
        <v>6</v>
      </c>
      <c r="L4" s="8" t="s">
        <v>7</v>
      </c>
      <c r="M4" s="8" t="s">
        <v>8</v>
      </c>
      <c r="N4" s="8" t="s">
        <v>9</v>
      </c>
      <c r="O4" s="55" t="s">
        <v>10</v>
      </c>
    </row>
    <row r="5" spans="2:15" ht="15.75" x14ac:dyDescent="0.25">
      <c r="B5" s="3" t="s">
        <v>11</v>
      </c>
      <c r="C5" s="4">
        <v>5</v>
      </c>
      <c r="D5" s="10">
        <v>31000</v>
      </c>
      <c r="E5" s="10">
        <f>D5+D5*0.25</f>
        <v>38750</v>
      </c>
      <c r="F5" s="10">
        <f>E5*C5</f>
        <v>193750</v>
      </c>
      <c r="J5" s="3" t="s">
        <v>11</v>
      </c>
      <c r="K5" s="46">
        <f>F5</f>
        <v>193750</v>
      </c>
      <c r="L5" s="45">
        <v>0.9</v>
      </c>
      <c r="M5" s="46">
        <f>L5*K5</f>
        <v>174375</v>
      </c>
      <c r="N5" s="45">
        <v>0.1</v>
      </c>
      <c r="O5" s="10">
        <f>$N5*K5</f>
        <v>19375</v>
      </c>
    </row>
    <row r="6" spans="2:15" ht="15.75" x14ac:dyDescent="0.25">
      <c r="B6" s="2" t="s">
        <v>12</v>
      </c>
      <c r="C6" s="4">
        <v>5</v>
      </c>
      <c r="D6" s="10">
        <v>31000</v>
      </c>
      <c r="E6" s="10">
        <f t="shared" ref="E6:E15" si="0">D6+D6*0.25</f>
        <v>38750</v>
      </c>
      <c r="F6" s="10">
        <f t="shared" ref="F6:F15" si="1">E6*C6</f>
        <v>193750</v>
      </c>
      <c r="J6" s="2" t="s">
        <v>12</v>
      </c>
      <c r="K6" s="46">
        <f>F6</f>
        <v>193750</v>
      </c>
      <c r="L6" s="45">
        <v>0.9</v>
      </c>
      <c r="M6" s="46">
        <f t="shared" ref="M6:M14" si="2">L6*K6</f>
        <v>174375</v>
      </c>
      <c r="N6" s="45">
        <v>0.1</v>
      </c>
      <c r="O6" s="10">
        <f t="shared" ref="O6:O15" si="3">$N6*K6</f>
        <v>19375</v>
      </c>
    </row>
    <row r="7" spans="2:15" ht="15.75" x14ac:dyDescent="0.25">
      <c r="B7" s="5" t="s">
        <v>13</v>
      </c>
      <c r="C7" s="4">
        <v>7</v>
      </c>
      <c r="D7" s="10">
        <v>24000</v>
      </c>
      <c r="E7" s="10">
        <f t="shared" si="0"/>
        <v>30000</v>
      </c>
      <c r="F7" s="10">
        <f t="shared" si="1"/>
        <v>210000</v>
      </c>
      <c r="J7" s="5" t="s">
        <v>13</v>
      </c>
      <c r="K7" s="46">
        <f>F7</f>
        <v>210000</v>
      </c>
      <c r="L7" s="45">
        <v>0.75</v>
      </c>
      <c r="M7" s="46">
        <f t="shared" si="2"/>
        <v>157500</v>
      </c>
      <c r="N7" s="45">
        <v>0.25</v>
      </c>
      <c r="O7" s="10">
        <f t="shared" si="3"/>
        <v>52500</v>
      </c>
    </row>
    <row r="8" spans="2:15" ht="15.75" x14ac:dyDescent="0.25">
      <c r="B8" s="5" t="s">
        <v>14</v>
      </c>
      <c r="C8" s="4">
        <v>3</v>
      </c>
      <c r="D8" s="10">
        <v>16000</v>
      </c>
      <c r="E8" s="10">
        <f t="shared" si="0"/>
        <v>20000</v>
      </c>
      <c r="F8" s="10">
        <f t="shared" si="1"/>
        <v>60000</v>
      </c>
      <c r="J8" s="5" t="s">
        <v>14</v>
      </c>
      <c r="K8" s="46">
        <f t="shared" ref="K8:K15" si="4">F8</f>
        <v>60000</v>
      </c>
      <c r="L8" s="45">
        <v>0.45</v>
      </c>
      <c r="M8" s="46">
        <f t="shared" si="2"/>
        <v>27000</v>
      </c>
      <c r="N8" s="45">
        <v>0.55000000000000004</v>
      </c>
      <c r="O8" s="10">
        <f t="shared" si="3"/>
        <v>33000</v>
      </c>
    </row>
    <row r="9" spans="2:15" ht="15.75" x14ac:dyDescent="0.25">
      <c r="B9" s="5" t="s">
        <v>15</v>
      </c>
      <c r="C9" s="4">
        <v>5</v>
      </c>
      <c r="D9" s="10">
        <v>24000</v>
      </c>
      <c r="E9" s="10">
        <f t="shared" si="0"/>
        <v>30000</v>
      </c>
      <c r="F9" s="10">
        <f t="shared" si="1"/>
        <v>150000</v>
      </c>
      <c r="J9" s="5" t="s">
        <v>15</v>
      </c>
      <c r="K9" s="46">
        <f t="shared" si="4"/>
        <v>150000</v>
      </c>
      <c r="L9" s="45">
        <v>0.85</v>
      </c>
      <c r="M9" s="46">
        <f t="shared" si="2"/>
        <v>127500</v>
      </c>
      <c r="N9" s="45">
        <v>0.15</v>
      </c>
      <c r="O9" s="10">
        <f t="shared" si="3"/>
        <v>22500</v>
      </c>
    </row>
    <row r="10" spans="2:15" ht="15.75" x14ac:dyDescent="0.25">
      <c r="B10" s="5" t="s">
        <v>16</v>
      </c>
      <c r="C10" s="4">
        <v>10</v>
      </c>
      <c r="D10" s="10">
        <v>28000</v>
      </c>
      <c r="E10" s="10">
        <f t="shared" si="0"/>
        <v>35000</v>
      </c>
      <c r="F10" s="10">
        <f t="shared" si="1"/>
        <v>350000</v>
      </c>
      <c r="J10" s="5" t="s">
        <v>16</v>
      </c>
      <c r="K10" s="46">
        <f t="shared" si="4"/>
        <v>350000</v>
      </c>
      <c r="L10" s="45">
        <v>0.85</v>
      </c>
      <c r="M10" s="46">
        <f t="shared" si="2"/>
        <v>297500</v>
      </c>
      <c r="N10" s="45">
        <v>0.15</v>
      </c>
      <c r="O10" s="10">
        <f t="shared" si="3"/>
        <v>52500</v>
      </c>
    </row>
    <row r="11" spans="2:15" ht="15.75" x14ac:dyDescent="0.25">
      <c r="B11" s="5" t="s">
        <v>17</v>
      </c>
      <c r="C11" s="4">
        <v>3</v>
      </c>
      <c r="D11" s="10">
        <v>41000</v>
      </c>
      <c r="E11" s="10">
        <f t="shared" si="0"/>
        <v>51250</v>
      </c>
      <c r="F11" s="10">
        <f t="shared" si="1"/>
        <v>153750</v>
      </c>
      <c r="J11" s="5" t="s">
        <v>17</v>
      </c>
      <c r="K11" s="46">
        <f t="shared" si="4"/>
        <v>153750</v>
      </c>
      <c r="L11" s="45">
        <v>0.8</v>
      </c>
      <c r="M11" s="46">
        <f t="shared" si="2"/>
        <v>123000</v>
      </c>
      <c r="N11" s="45">
        <v>0.2</v>
      </c>
      <c r="O11" s="10">
        <f t="shared" si="3"/>
        <v>30750</v>
      </c>
    </row>
    <row r="12" spans="2:15" ht="15.75" customHeight="1" x14ac:dyDescent="0.25">
      <c r="B12" s="5" t="s">
        <v>18</v>
      </c>
      <c r="C12" s="4">
        <v>3</v>
      </c>
      <c r="D12" s="10">
        <v>41000</v>
      </c>
      <c r="E12" s="10">
        <f t="shared" si="0"/>
        <v>51250</v>
      </c>
      <c r="F12" s="10">
        <f t="shared" si="1"/>
        <v>153750</v>
      </c>
      <c r="J12" s="5" t="s">
        <v>18</v>
      </c>
      <c r="K12" s="46">
        <f t="shared" si="4"/>
        <v>153750</v>
      </c>
      <c r="L12" s="45">
        <v>0.8</v>
      </c>
      <c r="M12" s="46">
        <f t="shared" si="2"/>
        <v>123000</v>
      </c>
      <c r="N12" s="45">
        <v>0.2</v>
      </c>
      <c r="O12" s="10">
        <f t="shared" si="3"/>
        <v>30750</v>
      </c>
    </row>
    <row r="13" spans="2:15" ht="15.75" x14ac:dyDescent="0.25">
      <c r="B13" s="5" t="s">
        <v>19</v>
      </c>
      <c r="C13" s="4">
        <v>2</v>
      </c>
      <c r="D13" s="10">
        <v>42500</v>
      </c>
      <c r="E13" s="10">
        <f t="shared" si="0"/>
        <v>53125</v>
      </c>
      <c r="F13" s="10">
        <f t="shared" si="1"/>
        <v>106250</v>
      </c>
      <c r="J13" s="5" t="s">
        <v>19</v>
      </c>
      <c r="K13" s="46">
        <f t="shared" si="4"/>
        <v>106250</v>
      </c>
      <c r="L13" s="45">
        <v>0.75</v>
      </c>
      <c r="M13" s="46">
        <f t="shared" si="2"/>
        <v>79687.5</v>
      </c>
      <c r="N13" s="45">
        <v>0.25</v>
      </c>
      <c r="O13" s="10">
        <f t="shared" si="3"/>
        <v>26562.5</v>
      </c>
    </row>
    <row r="14" spans="2:15" ht="15.75" x14ac:dyDescent="0.25">
      <c r="B14" s="5" t="s">
        <v>20</v>
      </c>
      <c r="C14" s="4">
        <v>2</v>
      </c>
      <c r="D14" s="10">
        <v>32000</v>
      </c>
      <c r="E14" s="10">
        <f t="shared" si="0"/>
        <v>40000</v>
      </c>
      <c r="F14" s="10">
        <f t="shared" si="1"/>
        <v>80000</v>
      </c>
      <c r="J14" s="5" t="s">
        <v>20</v>
      </c>
      <c r="K14" s="46">
        <f t="shared" si="4"/>
        <v>80000</v>
      </c>
      <c r="L14" s="45">
        <v>0.8</v>
      </c>
      <c r="M14" s="46">
        <f t="shared" si="2"/>
        <v>64000</v>
      </c>
      <c r="N14" s="45">
        <v>0.2</v>
      </c>
      <c r="O14" s="10">
        <f t="shared" si="3"/>
        <v>16000</v>
      </c>
    </row>
    <row r="15" spans="2:15" ht="15.75" x14ac:dyDescent="0.25">
      <c r="B15" s="5" t="s">
        <v>21</v>
      </c>
      <c r="C15" s="4">
        <v>1</v>
      </c>
      <c r="D15" s="10">
        <v>45000</v>
      </c>
      <c r="E15" s="10">
        <f t="shared" si="0"/>
        <v>56250</v>
      </c>
      <c r="F15" s="10">
        <f t="shared" si="1"/>
        <v>56250</v>
      </c>
      <c r="J15" s="5" t="s">
        <v>21</v>
      </c>
      <c r="K15" s="46">
        <f t="shared" si="4"/>
        <v>56250</v>
      </c>
      <c r="L15" s="45">
        <v>0.9</v>
      </c>
      <c r="M15" s="46">
        <f>L15*K15</f>
        <v>50625</v>
      </c>
      <c r="N15" s="45">
        <v>0.1</v>
      </c>
      <c r="O15" s="10">
        <f t="shared" si="3"/>
        <v>5625</v>
      </c>
    </row>
    <row r="16" spans="2:15" ht="15.75" customHeight="1" x14ac:dyDescent="0.25">
      <c r="B16" s="221" t="s">
        <v>6</v>
      </c>
      <c r="C16" s="6"/>
      <c r="D16" s="4"/>
      <c r="E16" s="4"/>
      <c r="F16" s="4"/>
      <c r="J16" s="221" t="s">
        <v>6</v>
      </c>
      <c r="K16" s="56"/>
      <c r="L16" s="45"/>
      <c r="M16" s="46"/>
      <c r="N16" s="45"/>
      <c r="O16" s="4"/>
    </row>
    <row r="17" spans="2:16" ht="15.75" customHeight="1" x14ac:dyDescent="0.25">
      <c r="B17" s="222"/>
      <c r="C17" s="12">
        <v>46</v>
      </c>
      <c r="D17" s="4"/>
      <c r="E17" s="4"/>
      <c r="F17" s="11">
        <f>SUM(F5:F16)</f>
        <v>1707500</v>
      </c>
      <c r="J17" s="222"/>
      <c r="K17" s="57">
        <f>SUM(K5:K16)</f>
        <v>1707500</v>
      </c>
      <c r="L17" s="45"/>
      <c r="M17" s="47">
        <f>SUM(M5:M16)</f>
        <v>1398562.5</v>
      </c>
      <c r="N17" s="45"/>
      <c r="O17" s="11">
        <f>SUM(O5:O16)</f>
        <v>308937.5</v>
      </c>
    </row>
    <row r="18" spans="2:16" x14ac:dyDescent="0.25">
      <c r="D18" s="1"/>
    </row>
    <row r="20" spans="2:16" x14ac:dyDescent="0.25">
      <c r="B20" t="s">
        <v>22</v>
      </c>
      <c r="J20" t="s">
        <v>23</v>
      </c>
    </row>
    <row r="22" spans="2:16" ht="31.5" x14ac:dyDescent="0.25">
      <c r="B22" s="9" t="s">
        <v>2</v>
      </c>
      <c r="C22" s="7" t="s">
        <v>24</v>
      </c>
      <c r="D22" s="8" t="s">
        <v>25</v>
      </c>
      <c r="E22" s="8" t="s">
        <v>26</v>
      </c>
      <c r="F22" s="8" t="s">
        <v>27</v>
      </c>
      <c r="J22" s="9" t="s">
        <v>2</v>
      </c>
      <c r="K22" s="8" t="s">
        <v>28</v>
      </c>
      <c r="L22" s="8" t="s">
        <v>27</v>
      </c>
      <c r="M22" s="8" t="s">
        <v>29</v>
      </c>
      <c r="P22" s="8" t="s">
        <v>30</v>
      </c>
    </row>
    <row r="23" spans="2:16" ht="15.75" x14ac:dyDescent="0.25">
      <c r="B23" s="3" t="s">
        <v>11</v>
      </c>
      <c r="C23" s="45">
        <f>L5</f>
        <v>0.9</v>
      </c>
      <c r="D23" s="44">
        <v>2200</v>
      </c>
      <c r="E23" s="44">
        <f>D23*C23</f>
        <v>1980</v>
      </c>
      <c r="F23" s="44">
        <f>E23*C5</f>
        <v>9900</v>
      </c>
      <c r="J23" s="3" t="s">
        <v>11</v>
      </c>
      <c r="K23" s="46">
        <v>40</v>
      </c>
      <c r="L23" s="44">
        <f>F23</f>
        <v>9900</v>
      </c>
      <c r="M23" s="46">
        <f>K23*L23</f>
        <v>396000</v>
      </c>
      <c r="P23" s="60">
        <f>K23-K23*0.25</f>
        <v>30</v>
      </c>
    </row>
    <row r="24" spans="2:16" ht="15.75" x14ac:dyDescent="0.25">
      <c r="B24" s="2" t="s">
        <v>12</v>
      </c>
      <c r="C24" s="45">
        <f t="shared" ref="C24:C33" si="5">L6</f>
        <v>0.9</v>
      </c>
      <c r="D24" s="44">
        <v>2200</v>
      </c>
      <c r="E24" s="44">
        <f t="shared" ref="E24:E33" si="6">D24*C24</f>
        <v>1980</v>
      </c>
      <c r="F24" s="44">
        <f t="shared" ref="F24:F33" si="7">E24*C6</f>
        <v>9900</v>
      </c>
      <c r="J24" s="2" t="s">
        <v>12</v>
      </c>
      <c r="K24" s="46">
        <v>40</v>
      </c>
      <c r="L24" s="44">
        <f t="shared" ref="L24:L33" si="8">F24</f>
        <v>9900</v>
      </c>
      <c r="M24" s="46">
        <f t="shared" ref="M24:M33" si="9">K24*L24</f>
        <v>396000</v>
      </c>
      <c r="P24" s="60">
        <f t="shared" ref="P24:P33" si="10">K24-K24*0.25</f>
        <v>30</v>
      </c>
    </row>
    <row r="25" spans="2:16" ht="15.75" x14ac:dyDescent="0.25">
      <c r="B25" s="5" t="s">
        <v>13</v>
      </c>
      <c r="C25" s="45">
        <f t="shared" si="5"/>
        <v>0.75</v>
      </c>
      <c r="D25" s="44">
        <v>2200</v>
      </c>
      <c r="E25" s="44">
        <f t="shared" si="6"/>
        <v>1650</v>
      </c>
      <c r="F25" s="44">
        <f t="shared" si="7"/>
        <v>11550</v>
      </c>
      <c r="J25" s="5" t="s">
        <v>13</v>
      </c>
      <c r="K25" s="46">
        <v>50</v>
      </c>
      <c r="L25" s="44">
        <f t="shared" si="8"/>
        <v>11550</v>
      </c>
      <c r="M25" s="46">
        <f t="shared" si="9"/>
        <v>577500</v>
      </c>
      <c r="P25" s="60">
        <f t="shared" si="10"/>
        <v>37.5</v>
      </c>
    </row>
    <row r="26" spans="2:16" ht="15.75" x14ac:dyDescent="0.25">
      <c r="B26" s="5" t="s">
        <v>14</v>
      </c>
      <c r="C26" s="45">
        <f t="shared" si="5"/>
        <v>0.45</v>
      </c>
      <c r="D26" s="44">
        <v>1800</v>
      </c>
      <c r="E26" s="44">
        <f t="shared" si="6"/>
        <v>810</v>
      </c>
      <c r="F26" s="44">
        <f t="shared" si="7"/>
        <v>2430</v>
      </c>
      <c r="J26" s="5" t="s">
        <v>14</v>
      </c>
      <c r="K26" s="46">
        <v>25</v>
      </c>
      <c r="L26" s="44">
        <f t="shared" si="8"/>
        <v>2430</v>
      </c>
      <c r="M26" s="46">
        <f t="shared" si="9"/>
        <v>60750</v>
      </c>
      <c r="P26" s="60">
        <f t="shared" si="10"/>
        <v>18.75</v>
      </c>
    </row>
    <row r="27" spans="2:16" ht="15.75" x14ac:dyDescent="0.25">
      <c r="B27" s="5" t="s">
        <v>15</v>
      </c>
      <c r="C27" s="45">
        <f t="shared" si="5"/>
        <v>0.85</v>
      </c>
      <c r="D27" s="44">
        <v>2200</v>
      </c>
      <c r="E27" s="44">
        <f t="shared" si="6"/>
        <v>1870</v>
      </c>
      <c r="F27" s="44">
        <f t="shared" si="7"/>
        <v>9350</v>
      </c>
      <c r="J27" s="5" t="s">
        <v>15</v>
      </c>
      <c r="K27" s="46">
        <v>50</v>
      </c>
      <c r="L27" s="44">
        <f t="shared" si="8"/>
        <v>9350</v>
      </c>
      <c r="M27" s="46">
        <f t="shared" si="9"/>
        <v>467500</v>
      </c>
      <c r="P27" s="60">
        <f t="shared" si="10"/>
        <v>37.5</v>
      </c>
    </row>
    <row r="28" spans="2:16" ht="15.75" x14ac:dyDescent="0.25">
      <c r="B28" s="5" t="s">
        <v>16</v>
      </c>
      <c r="C28" s="45">
        <f t="shared" si="5"/>
        <v>0.85</v>
      </c>
      <c r="D28" s="44">
        <v>2200</v>
      </c>
      <c r="E28" s="44">
        <f t="shared" si="6"/>
        <v>1870</v>
      </c>
      <c r="F28" s="44">
        <f t="shared" si="7"/>
        <v>18700</v>
      </c>
      <c r="J28" s="5" t="s">
        <v>16</v>
      </c>
      <c r="K28" s="46">
        <v>50</v>
      </c>
      <c r="L28" s="44">
        <f t="shared" si="8"/>
        <v>18700</v>
      </c>
      <c r="M28" s="46">
        <f t="shared" si="9"/>
        <v>935000</v>
      </c>
      <c r="P28" s="60">
        <f t="shared" si="10"/>
        <v>37.5</v>
      </c>
    </row>
    <row r="29" spans="2:16" ht="15.75" x14ac:dyDescent="0.25">
      <c r="B29" s="5" t="s">
        <v>17</v>
      </c>
      <c r="C29" s="45">
        <f t="shared" si="5"/>
        <v>0.8</v>
      </c>
      <c r="D29" s="44">
        <v>2200</v>
      </c>
      <c r="E29" s="44">
        <f t="shared" si="6"/>
        <v>1760</v>
      </c>
      <c r="F29" s="44">
        <f t="shared" si="7"/>
        <v>5280</v>
      </c>
      <c r="J29" s="5" t="s">
        <v>17</v>
      </c>
      <c r="K29" s="46">
        <v>45</v>
      </c>
      <c r="L29" s="44">
        <f t="shared" si="8"/>
        <v>5280</v>
      </c>
      <c r="M29" s="46">
        <f t="shared" si="9"/>
        <v>237600</v>
      </c>
      <c r="P29" s="60">
        <f t="shared" si="10"/>
        <v>33.75</v>
      </c>
    </row>
    <row r="30" spans="2:16" ht="31.5" x14ac:dyDescent="0.25">
      <c r="B30" s="5" t="s">
        <v>18</v>
      </c>
      <c r="C30" s="45">
        <f t="shared" si="5"/>
        <v>0.8</v>
      </c>
      <c r="D30" s="44">
        <v>2200</v>
      </c>
      <c r="E30" s="44">
        <f t="shared" si="6"/>
        <v>1760</v>
      </c>
      <c r="F30" s="44">
        <f t="shared" si="7"/>
        <v>5280</v>
      </c>
      <c r="J30" s="5" t="s">
        <v>18</v>
      </c>
      <c r="K30" s="46">
        <v>45</v>
      </c>
      <c r="L30" s="44">
        <f t="shared" si="8"/>
        <v>5280</v>
      </c>
      <c r="M30" s="46">
        <f t="shared" si="9"/>
        <v>237600</v>
      </c>
      <c r="P30" s="60">
        <f t="shared" si="10"/>
        <v>33.75</v>
      </c>
    </row>
    <row r="31" spans="2:16" ht="15.75" x14ac:dyDescent="0.25">
      <c r="B31" s="5" t="s">
        <v>19</v>
      </c>
      <c r="C31" s="45">
        <f t="shared" si="5"/>
        <v>0.75</v>
      </c>
      <c r="D31" s="44">
        <v>2200</v>
      </c>
      <c r="E31" s="44">
        <f t="shared" si="6"/>
        <v>1650</v>
      </c>
      <c r="F31" s="44">
        <f t="shared" si="7"/>
        <v>3300</v>
      </c>
      <c r="J31" s="5" t="s">
        <v>19</v>
      </c>
      <c r="K31" s="46">
        <v>60</v>
      </c>
      <c r="L31" s="44">
        <f t="shared" si="8"/>
        <v>3300</v>
      </c>
      <c r="M31" s="46">
        <f t="shared" si="9"/>
        <v>198000</v>
      </c>
      <c r="P31" s="60">
        <f t="shared" si="10"/>
        <v>45</v>
      </c>
    </row>
    <row r="32" spans="2:16" ht="15.75" x14ac:dyDescent="0.25">
      <c r="B32" s="5" t="s">
        <v>20</v>
      </c>
      <c r="C32" s="45">
        <f t="shared" si="5"/>
        <v>0.8</v>
      </c>
      <c r="D32" s="44">
        <v>2200</v>
      </c>
      <c r="E32" s="44">
        <f t="shared" si="6"/>
        <v>1760</v>
      </c>
      <c r="F32" s="44">
        <f t="shared" si="7"/>
        <v>3520</v>
      </c>
      <c r="J32" s="5" t="s">
        <v>20</v>
      </c>
      <c r="K32" s="46">
        <v>55</v>
      </c>
      <c r="L32" s="44">
        <f t="shared" si="8"/>
        <v>3520</v>
      </c>
      <c r="M32" s="46">
        <f t="shared" si="9"/>
        <v>193600</v>
      </c>
      <c r="P32" s="60">
        <f t="shared" si="10"/>
        <v>41.25</v>
      </c>
    </row>
    <row r="33" spans="2:16" ht="15.75" x14ac:dyDescent="0.25">
      <c r="B33" s="5" t="s">
        <v>21</v>
      </c>
      <c r="C33" s="45">
        <f t="shared" si="5"/>
        <v>0.9</v>
      </c>
      <c r="D33" s="44">
        <v>2200</v>
      </c>
      <c r="E33" s="44">
        <f t="shared" si="6"/>
        <v>1980</v>
      </c>
      <c r="F33" s="44">
        <f t="shared" si="7"/>
        <v>1980</v>
      </c>
      <c r="J33" s="5" t="s">
        <v>21</v>
      </c>
      <c r="K33" s="46">
        <v>75</v>
      </c>
      <c r="L33" s="44">
        <f t="shared" si="8"/>
        <v>1980</v>
      </c>
      <c r="M33" s="46">
        <f t="shared" si="9"/>
        <v>148500</v>
      </c>
      <c r="P33" s="60">
        <f t="shared" si="10"/>
        <v>56.25</v>
      </c>
    </row>
    <row r="34" spans="2:16" ht="14.45" customHeight="1" x14ac:dyDescent="0.25">
      <c r="B34" s="5"/>
      <c r="C34" s="6"/>
      <c r="D34" s="4"/>
      <c r="E34" s="4"/>
      <c r="F34" s="4"/>
      <c r="J34" s="5"/>
      <c r="K34" s="44"/>
      <c r="L34" s="4"/>
      <c r="M34" s="44"/>
    </row>
    <row r="35" spans="2:16" ht="14.45" customHeight="1" x14ac:dyDescent="0.25">
      <c r="B35" s="5"/>
      <c r="C35" s="12"/>
      <c r="D35" s="4"/>
      <c r="E35" s="4"/>
      <c r="F35" s="48">
        <f>SUM(F23:F33)</f>
        <v>81190</v>
      </c>
      <c r="J35" s="5"/>
      <c r="K35" s="44"/>
      <c r="L35" s="48">
        <f>SUM(L23:L33)</f>
        <v>81190</v>
      </c>
      <c r="M35" s="47">
        <f>SUM(M23:M33)</f>
        <v>3848050</v>
      </c>
    </row>
    <row r="39" spans="2:16" x14ac:dyDescent="0.25">
      <c r="J39" s="53" t="s">
        <v>31</v>
      </c>
      <c r="K39" s="54">
        <f>SUM(M23,M24,M31,M32,M33)</f>
        <v>1332100</v>
      </c>
    </row>
    <row r="40" spans="2:16" x14ac:dyDescent="0.25">
      <c r="J40" s="53" t="s">
        <v>32</v>
      </c>
      <c r="K40" s="54">
        <f>SUM(M25,M26,M27,M28,M29,M30)</f>
        <v>2515950</v>
      </c>
    </row>
  </sheetData>
  <mergeCells count="2">
    <mergeCell ref="B16:B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FAA4-0FCF-4120-9E99-EDB49608C20E}">
  <dimension ref="B2:N19"/>
  <sheetViews>
    <sheetView zoomScale="85" zoomScaleNormal="85" workbookViewId="0">
      <selection activeCell="K16" sqref="K16"/>
    </sheetView>
  </sheetViews>
  <sheetFormatPr baseColWidth="10" defaultColWidth="11.42578125" defaultRowHeight="15" x14ac:dyDescent="0.25"/>
  <cols>
    <col min="2" max="2" width="28.28515625" customWidth="1"/>
    <col min="4" max="4" width="13.28515625" customWidth="1"/>
    <col min="8" max="8" width="37.28515625" customWidth="1"/>
    <col min="10" max="10" width="14.85546875" customWidth="1"/>
    <col min="11" max="11" width="15.5703125" customWidth="1"/>
    <col min="12" max="12" width="16" customWidth="1"/>
    <col min="13" max="13" width="14.140625" customWidth="1"/>
  </cols>
  <sheetData>
    <row r="2" spans="2:14" x14ac:dyDescent="0.25">
      <c r="B2" t="s">
        <v>33</v>
      </c>
      <c r="H2" t="s">
        <v>34</v>
      </c>
    </row>
    <row r="4" spans="2:14" ht="15.75" x14ac:dyDescent="0.25">
      <c r="B4" s="9" t="s">
        <v>35</v>
      </c>
      <c r="C4" s="194" t="s">
        <v>36</v>
      </c>
      <c r="D4" s="194" t="s">
        <v>37</v>
      </c>
      <c r="H4" s="9" t="s">
        <v>38</v>
      </c>
      <c r="I4" s="8" t="s">
        <v>39</v>
      </c>
      <c r="J4" s="8" t="s">
        <v>40</v>
      </c>
      <c r="K4" s="8" t="s">
        <v>41</v>
      </c>
      <c r="L4" s="8" t="s">
        <v>37</v>
      </c>
      <c r="M4" s="8" t="s">
        <v>42</v>
      </c>
      <c r="N4" s="8" t="s">
        <v>43</v>
      </c>
    </row>
    <row r="5" spans="2:14" ht="15.75" x14ac:dyDescent="0.25">
      <c r="B5" s="216" t="s">
        <v>44</v>
      </c>
      <c r="C5" s="217">
        <v>800</v>
      </c>
      <c r="D5" s="217">
        <f t="shared" ref="D5:D6" si="0">C5*12</f>
        <v>9600</v>
      </c>
      <c r="H5" s="3" t="s">
        <v>45</v>
      </c>
      <c r="I5" s="44">
        <v>26</v>
      </c>
      <c r="J5" s="46">
        <v>600</v>
      </c>
      <c r="K5" s="46">
        <f>I5*J5</f>
        <v>15600</v>
      </c>
      <c r="L5" s="46">
        <f>K5/N5</f>
        <v>2600</v>
      </c>
      <c r="M5" s="44" t="s">
        <v>46</v>
      </c>
      <c r="N5" s="44">
        <v>6</v>
      </c>
    </row>
    <row r="6" spans="2:14" ht="15.75" x14ac:dyDescent="0.25">
      <c r="B6" s="216" t="s">
        <v>47</v>
      </c>
      <c r="C6" s="217">
        <v>900</v>
      </c>
      <c r="D6" s="217">
        <f t="shared" si="0"/>
        <v>10800</v>
      </c>
      <c r="H6" s="2" t="s">
        <v>48</v>
      </c>
      <c r="I6" s="44">
        <v>16</v>
      </c>
      <c r="J6" s="46">
        <v>199</v>
      </c>
      <c r="K6" s="46">
        <f t="shared" ref="K6:K14" si="1">I6*J6</f>
        <v>3184</v>
      </c>
      <c r="L6" s="46">
        <f t="shared" ref="L6:L17" si="2">K6 / N6</f>
        <v>530.66666666666663</v>
      </c>
      <c r="M6" s="44" t="s">
        <v>46</v>
      </c>
      <c r="N6" s="44">
        <v>6</v>
      </c>
    </row>
    <row r="7" spans="2:14" ht="15.75" x14ac:dyDescent="0.25">
      <c r="B7" s="216" t="s">
        <v>51</v>
      </c>
      <c r="C7" s="217">
        <v>800</v>
      </c>
      <c r="D7" s="217">
        <f>C7*12</f>
        <v>9600</v>
      </c>
      <c r="H7" s="5" t="s">
        <v>49</v>
      </c>
      <c r="I7" s="44">
        <v>18</v>
      </c>
      <c r="J7" s="46">
        <v>695</v>
      </c>
      <c r="K7" s="46">
        <f t="shared" si="1"/>
        <v>12510</v>
      </c>
      <c r="L7" s="46">
        <f t="shared" si="2"/>
        <v>2085</v>
      </c>
      <c r="M7" s="44" t="s">
        <v>46</v>
      </c>
      <c r="N7" s="44">
        <v>6</v>
      </c>
    </row>
    <row r="8" spans="2:14" ht="15.75" x14ac:dyDescent="0.25">
      <c r="B8" s="216" t="s">
        <v>54</v>
      </c>
      <c r="C8" s="217">
        <v>450</v>
      </c>
      <c r="D8" s="217">
        <f>C8*12</f>
        <v>5400</v>
      </c>
      <c r="H8" s="5" t="s">
        <v>50</v>
      </c>
      <c r="I8" s="44">
        <v>9</v>
      </c>
      <c r="J8" s="46">
        <v>80</v>
      </c>
      <c r="K8" s="46">
        <f t="shared" si="1"/>
        <v>720</v>
      </c>
      <c r="L8" s="46">
        <f t="shared" si="2"/>
        <v>180</v>
      </c>
      <c r="M8" s="44" t="s">
        <v>46</v>
      </c>
      <c r="N8" s="44">
        <v>4</v>
      </c>
    </row>
    <row r="9" spans="2:14" ht="15.75" x14ac:dyDescent="0.25">
      <c r="B9" s="216" t="s">
        <v>56</v>
      </c>
      <c r="C9" s="217">
        <v>650</v>
      </c>
      <c r="D9" s="217">
        <f>C9*12</f>
        <v>7800</v>
      </c>
      <c r="H9" s="5" t="s">
        <v>52</v>
      </c>
      <c r="I9" s="44">
        <v>9</v>
      </c>
      <c r="J9" s="46">
        <v>60</v>
      </c>
      <c r="K9" s="46">
        <f t="shared" si="1"/>
        <v>540</v>
      </c>
      <c r="L9" s="46">
        <f t="shared" si="2"/>
        <v>135</v>
      </c>
      <c r="M9" s="44" t="s">
        <v>46</v>
      </c>
      <c r="N9" s="44">
        <v>4</v>
      </c>
    </row>
    <row r="10" spans="2:14" ht="15.75" x14ac:dyDescent="0.25">
      <c r="B10" s="216" t="s">
        <v>58</v>
      </c>
      <c r="C10" s="217">
        <v>750</v>
      </c>
      <c r="D10" s="217">
        <f>C10*12</f>
        <v>9000</v>
      </c>
      <c r="H10" s="5" t="s">
        <v>53</v>
      </c>
      <c r="I10" s="44">
        <v>36</v>
      </c>
      <c r="J10" s="46">
        <v>30</v>
      </c>
      <c r="K10" s="46">
        <f t="shared" si="1"/>
        <v>1080</v>
      </c>
      <c r="L10" s="46">
        <f t="shared" si="2"/>
        <v>270</v>
      </c>
      <c r="M10" s="44" t="s">
        <v>46</v>
      </c>
      <c r="N10" s="44">
        <v>4</v>
      </c>
    </row>
    <row r="11" spans="2:14" ht="15.75" x14ac:dyDescent="0.25">
      <c r="B11" s="216" t="s">
        <v>60</v>
      </c>
      <c r="C11" s="217">
        <v>900</v>
      </c>
      <c r="D11" s="217">
        <f>C11*12</f>
        <v>10800</v>
      </c>
      <c r="H11" s="5" t="s">
        <v>55</v>
      </c>
      <c r="I11" s="44">
        <v>11</v>
      </c>
      <c r="J11" s="46">
        <v>475</v>
      </c>
      <c r="K11" s="46">
        <f t="shared" si="1"/>
        <v>5225</v>
      </c>
      <c r="L11" s="46">
        <f t="shared" si="2"/>
        <v>1306.25</v>
      </c>
      <c r="M11" s="44" t="s">
        <v>46</v>
      </c>
      <c r="N11" s="44">
        <v>4</v>
      </c>
    </row>
    <row r="12" spans="2:14" ht="15.75" x14ac:dyDescent="0.25">
      <c r="B12" s="216" t="s">
        <v>83</v>
      </c>
      <c r="C12" s="217">
        <f>SUM(C5:C11)</f>
        <v>5250</v>
      </c>
      <c r="D12" s="218">
        <f>SUM(D5:D11)</f>
        <v>63000</v>
      </c>
      <c r="H12" s="5" t="s">
        <v>57</v>
      </c>
      <c r="I12" s="44">
        <v>36</v>
      </c>
      <c r="J12" s="46">
        <v>70</v>
      </c>
      <c r="K12" s="46">
        <f t="shared" si="1"/>
        <v>2520</v>
      </c>
      <c r="L12" s="46">
        <f t="shared" si="2"/>
        <v>630</v>
      </c>
      <c r="M12" s="44" t="s">
        <v>46</v>
      </c>
      <c r="N12" s="44">
        <v>4</v>
      </c>
    </row>
    <row r="13" spans="2:14" ht="15.75" x14ac:dyDescent="0.25">
      <c r="H13" s="5" t="s">
        <v>59</v>
      </c>
      <c r="I13" s="44">
        <v>1</v>
      </c>
      <c r="J13" s="46">
        <v>2100</v>
      </c>
      <c r="K13" s="46">
        <f t="shared" si="1"/>
        <v>2100</v>
      </c>
      <c r="L13" s="46">
        <f t="shared" si="2"/>
        <v>262.5</v>
      </c>
      <c r="M13" s="44" t="s">
        <v>46</v>
      </c>
      <c r="N13" s="44">
        <v>8</v>
      </c>
    </row>
    <row r="14" spans="2:14" ht="15.75" x14ac:dyDescent="0.25">
      <c r="H14" s="5" t="s">
        <v>61</v>
      </c>
      <c r="I14" s="44">
        <v>1</v>
      </c>
      <c r="J14" s="46">
        <v>90</v>
      </c>
      <c r="K14" s="46">
        <f t="shared" si="1"/>
        <v>90</v>
      </c>
      <c r="L14" s="46">
        <f t="shared" si="2"/>
        <v>45</v>
      </c>
      <c r="M14" s="44" t="s">
        <v>46</v>
      </c>
      <c r="N14" s="44">
        <v>2</v>
      </c>
    </row>
    <row r="15" spans="2:14" ht="15.75" x14ac:dyDescent="0.25">
      <c r="H15" s="5" t="s">
        <v>62</v>
      </c>
      <c r="I15" s="44">
        <v>1</v>
      </c>
      <c r="J15" s="46">
        <v>520</v>
      </c>
      <c r="K15" s="46">
        <f>I15*J15</f>
        <v>520</v>
      </c>
      <c r="L15" s="46">
        <f t="shared" si="2"/>
        <v>130</v>
      </c>
      <c r="M15" s="44" t="s">
        <v>46</v>
      </c>
      <c r="N15" s="44">
        <v>4</v>
      </c>
    </row>
    <row r="16" spans="2:14" ht="15.75" x14ac:dyDescent="0.25">
      <c r="H16" s="5" t="s">
        <v>63</v>
      </c>
      <c r="I16" s="44">
        <v>31</v>
      </c>
      <c r="J16" s="46">
        <f>Personal_Empresa!K40</f>
        <v>2515950</v>
      </c>
      <c r="K16" s="46">
        <f>J16</f>
        <v>2515950</v>
      </c>
      <c r="L16" s="46">
        <f t="shared" si="2"/>
        <v>628987.5</v>
      </c>
      <c r="M16" s="44" t="s">
        <v>46</v>
      </c>
      <c r="N16" s="44">
        <v>4</v>
      </c>
    </row>
    <row r="17" spans="4:14" ht="15.75" x14ac:dyDescent="0.25">
      <c r="H17" s="5" t="s">
        <v>64</v>
      </c>
      <c r="I17" s="44">
        <v>15</v>
      </c>
      <c r="J17" s="46">
        <f>Personal_Empresa!K39</f>
        <v>1332100</v>
      </c>
      <c r="K17" s="46">
        <f>J17</f>
        <v>1332100</v>
      </c>
      <c r="L17" s="46">
        <f t="shared" si="2"/>
        <v>333025</v>
      </c>
      <c r="M17" s="44" t="s">
        <v>46</v>
      </c>
      <c r="N17" s="44">
        <v>4</v>
      </c>
    </row>
    <row r="18" spans="4:14" ht="15.75" x14ac:dyDescent="0.25">
      <c r="D18" s="219"/>
      <c r="H18" s="5"/>
      <c r="I18" s="44"/>
      <c r="J18" s="48"/>
      <c r="K18" s="47"/>
      <c r="L18" s="49"/>
      <c r="M18" s="47"/>
      <c r="N18" s="47"/>
    </row>
    <row r="19" spans="4:14" ht="15.75" x14ac:dyDescent="0.25">
      <c r="H19" s="5"/>
      <c r="I19" s="44"/>
      <c r="J19" s="48"/>
      <c r="K19" s="47"/>
      <c r="L19" s="47">
        <f>SUM(L5:L17)</f>
        <v>970186.91666666663</v>
      </c>
      <c r="M19" s="47"/>
      <c r="N19" s="47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7DE6-A0D1-4708-B02E-DCED228E8751}">
  <dimension ref="B5:D12"/>
  <sheetViews>
    <sheetView workbookViewId="0">
      <selection activeCell="C27" sqref="C27"/>
    </sheetView>
  </sheetViews>
  <sheetFormatPr baseColWidth="10" defaultColWidth="11.42578125" defaultRowHeight="15" x14ac:dyDescent="0.25"/>
  <cols>
    <col min="2" max="2" width="5.140625" customWidth="1"/>
    <col min="3" max="3" width="83.28515625" customWidth="1"/>
    <col min="4" max="4" width="18" customWidth="1"/>
  </cols>
  <sheetData>
    <row r="5" spans="2:4" ht="15.75" x14ac:dyDescent="0.25">
      <c r="B5" s="9" t="s">
        <v>65</v>
      </c>
      <c r="C5" s="8" t="s">
        <v>66</v>
      </c>
      <c r="D5" s="8" t="s">
        <v>67</v>
      </c>
    </row>
    <row r="6" spans="2:4" ht="15.75" x14ac:dyDescent="0.25">
      <c r="B6" s="50">
        <v>1</v>
      </c>
      <c r="C6" s="44" t="s">
        <v>68</v>
      </c>
      <c r="D6" s="46">
        <f>Personal_Empresa!M17</f>
        <v>1398562.5</v>
      </c>
    </row>
    <row r="7" spans="2:4" ht="15.75" x14ac:dyDescent="0.25">
      <c r="B7" s="51">
        <v>2</v>
      </c>
      <c r="C7" s="44" t="s">
        <v>69</v>
      </c>
      <c r="D7" s="46">
        <f>Costes_Med_Produccion_E_Indirec!D12+Costes_Med_Produccion_E_Indirec!L19+Personal_Empresa!O17</f>
        <v>1342124.4166666665</v>
      </c>
    </row>
    <row r="8" spans="2:4" ht="15.75" x14ac:dyDescent="0.25">
      <c r="B8" s="50">
        <v>3</v>
      </c>
      <c r="C8" s="44" t="s">
        <v>70</v>
      </c>
      <c r="D8" s="46">
        <f>D6+D7</f>
        <v>2740686.9166666665</v>
      </c>
    </row>
    <row r="9" spans="2:4" ht="15.75" x14ac:dyDescent="0.25">
      <c r="B9" s="51">
        <v>4</v>
      </c>
      <c r="C9" s="44" t="s">
        <v>71</v>
      </c>
      <c r="D9" s="46">
        <f>D8*0.25</f>
        <v>685171.72916666663</v>
      </c>
    </row>
    <row r="10" spans="2:4" ht="15.75" x14ac:dyDescent="0.25">
      <c r="B10" s="50">
        <v>5</v>
      </c>
      <c r="C10" s="44" t="s">
        <v>72</v>
      </c>
      <c r="D10" s="46">
        <f>D8+D9</f>
        <v>3425858.645833333</v>
      </c>
    </row>
    <row r="11" spans="2:4" ht="30" x14ac:dyDescent="0.25">
      <c r="B11" s="51">
        <v>6</v>
      </c>
      <c r="C11" s="44" t="s">
        <v>73</v>
      </c>
      <c r="D11" s="46">
        <f>Personal_Empresa!M35</f>
        <v>3848050</v>
      </c>
    </row>
    <row r="12" spans="2:4" ht="15.75" x14ac:dyDescent="0.25">
      <c r="B12" s="50">
        <v>7</v>
      </c>
      <c r="C12" s="44" t="s">
        <v>74</v>
      </c>
      <c r="D12" s="45">
        <f>D11/D10/100</f>
        <v>1.1232366532927893E-2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1702-55EB-473E-B817-9AFBDA47B939}">
  <dimension ref="B2:AA1048561"/>
  <sheetViews>
    <sheetView topLeftCell="K16" zoomScale="85" zoomScaleNormal="85" workbookViewId="0">
      <selection activeCell="M8" sqref="M8"/>
    </sheetView>
  </sheetViews>
  <sheetFormatPr baseColWidth="10" defaultColWidth="8.85546875" defaultRowHeight="15" x14ac:dyDescent="0.25"/>
  <cols>
    <col min="2" max="2" width="36.7109375" customWidth="1"/>
    <col min="3" max="3" width="24.7109375" bestFit="1" customWidth="1"/>
    <col min="4" max="4" width="39.5703125" bestFit="1" customWidth="1"/>
    <col min="5" max="5" width="21.5703125" customWidth="1"/>
    <col min="7" max="7" width="4.28515625" customWidth="1"/>
    <col min="8" max="8" width="29.42578125" bestFit="1" customWidth="1"/>
    <col min="9" max="9" width="24.28515625" customWidth="1"/>
    <col min="10" max="10" width="37.7109375" customWidth="1"/>
    <col min="11" max="11" width="16.42578125" customWidth="1"/>
    <col min="12" max="12" width="10.5703125" customWidth="1"/>
    <col min="13" max="13" width="15.42578125" customWidth="1"/>
    <col min="14" max="15" width="14" customWidth="1"/>
    <col min="17" max="17" width="3.140625" bestFit="1" customWidth="1"/>
    <col min="18" max="19" width="4.140625" bestFit="1" customWidth="1"/>
    <col min="20" max="20" width="39.5703125" bestFit="1" customWidth="1"/>
    <col min="21" max="21" width="9.7109375" bestFit="1" customWidth="1"/>
    <col min="22" max="22" width="10" bestFit="1" customWidth="1"/>
    <col min="23" max="23" width="11.5703125" bestFit="1" customWidth="1"/>
    <col min="24" max="24" width="12.7109375" bestFit="1" customWidth="1"/>
    <col min="25" max="25" width="12.5703125" customWidth="1"/>
    <col min="26" max="26" width="16.5703125" customWidth="1"/>
  </cols>
  <sheetData>
    <row r="2" spans="2:27" ht="18.75" x14ac:dyDescent="0.3">
      <c r="I2" s="43" t="s">
        <v>75</v>
      </c>
      <c r="Z2" s="148"/>
      <c r="AA2" s="148"/>
    </row>
    <row r="3" spans="2:27" ht="18.75" x14ac:dyDescent="0.3">
      <c r="B3" s="43" t="s">
        <v>76</v>
      </c>
      <c r="H3" s="128" t="s">
        <v>77</v>
      </c>
      <c r="I3" s="129" t="s">
        <v>78</v>
      </c>
      <c r="J3" s="130" t="s">
        <v>79</v>
      </c>
      <c r="K3" s="130" t="s">
        <v>80</v>
      </c>
      <c r="L3" s="130" t="s">
        <v>81</v>
      </c>
      <c r="M3" s="130" t="s">
        <v>40</v>
      </c>
      <c r="N3" s="130" t="s">
        <v>82</v>
      </c>
      <c r="O3" s="131" t="s">
        <v>83</v>
      </c>
      <c r="Q3" s="224" t="s">
        <v>84</v>
      </c>
      <c r="R3" s="225"/>
      <c r="S3" s="225"/>
      <c r="T3" s="225"/>
      <c r="U3" s="225"/>
      <c r="V3" s="225"/>
      <c r="W3" s="225"/>
      <c r="X3" s="225"/>
      <c r="Y3" s="225"/>
      <c r="Z3" s="226"/>
      <c r="AA3" s="148"/>
    </row>
    <row r="4" spans="2:27" ht="15.75" x14ac:dyDescent="0.25">
      <c r="H4" s="132" t="s">
        <v>85</v>
      </c>
      <c r="I4" s="133"/>
      <c r="J4" s="134" t="s">
        <v>86</v>
      </c>
      <c r="K4" s="25"/>
      <c r="L4" s="25"/>
      <c r="M4" s="25"/>
      <c r="N4" s="25"/>
      <c r="O4" s="115">
        <f>O5+O10</f>
        <v>6400</v>
      </c>
      <c r="Q4" s="169" t="s">
        <v>77</v>
      </c>
      <c r="R4" s="170" t="s">
        <v>78</v>
      </c>
      <c r="S4" s="170" t="s">
        <v>87</v>
      </c>
      <c r="T4" s="171" t="s">
        <v>79</v>
      </c>
      <c r="U4" s="171" t="s">
        <v>80</v>
      </c>
      <c r="V4" s="171" t="s">
        <v>81</v>
      </c>
      <c r="W4" s="171" t="s">
        <v>40</v>
      </c>
      <c r="X4" s="171" t="s">
        <v>88</v>
      </c>
      <c r="Y4" s="171" t="s">
        <v>82</v>
      </c>
      <c r="Z4" s="172" t="s">
        <v>83</v>
      </c>
      <c r="AA4" s="148"/>
    </row>
    <row r="5" spans="2:27" ht="15.75" x14ac:dyDescent="0.25">
      <c r="B5" s="78" t="s">
        <v>77</v>
      </c>
      <c r="C5" s="79" t="s">
        <v>78</v>
      </c>
      <c r="D5" s="76" t="s">
        <v>79</v>
      </c>
      <c r="H5" s="24" t="str">
        <f>C7</f>
        <v>001</v>
      </c>
      <c r="I5" s="25"/>
      <c r="J5" s="14" t="str">
        <f>D7</f>
        <v>Valoración de la infraestructura</v>
      </c>
      <c r="K5" s="25"/>
      <c r="L5" s="25"/>
      <c r="M5" s="127"/>
      <c r="N5" s="25"/>
      <c r="O5" s="115">
        <f>SUM(N6:N9)</f>
        <v>5600</v>
      </c>
      <c r="Q5" s="157" t="s">
        <v>85</v>
      </c>
      <c r="R5" s="14"/>
      <c r="S5" s="17"/>
      <c r="T5" s="14" t="s">
        <v>86</v>
      </c>
      <c r="U5" s="17"/>
      <c r="V5" s="17"/>
      <c r="W5" s="17"/>
      <c r="X5" s="17"/>
      <c r="Y5" s="30"/>
      <c r="Z5" s="189">
        <f>Y6+Y11</f>
        <v>6400</v>
      </c>
    </row>
    <row r="6" spans="2:27" x14ac:dyDescent="0.25">
      <c r="B6" s="15" t="s">
        <v>85</v>
      </c>
      <c r="D6" s="16" t="s">
        <v>89</v>
      </c>
      <c r="H6" s="17"/>
      <c r="I6" s="22" t="s">
        <v>85</v>
      </c>
      <c r="J6" s="17" t="s">
        <v>90</v>
      </c>
      <c r="K6" s="17">
        <v>16</v>
      </c>
      <c r="L6" s="17" t="s">
        <v>91</v>
      </c>
      <c r="M6" s="37">
        <v>50</v>
      </c>
      <c r="N6" s="119">
        <f>M6*K6</f>
        <v>800</v>
      </c>
      <c r="O6" s="120"/>
      <c r="Q6" s="156"/>
      <c r="R6" s="15" t="s">
        <v>92</v>
      </c>
      <c r="S6" s="17"/>
      <c r="T6" s="14" t="str">
        <f>J5</f>
        <v>Valoración de la infraestructura</v>
      </c>
      <c r="U6" s="17"/>
      <c r="V6" s="17"/>
      <c r="W6" s="17"/>
      <c r="X6" s="17"/>
      <c r="Y6" s="38">
        <f>SUM(X7:X10)</f>
        <v>5600</v>
      </c>
      <c r="Z6" s="173"/>
    </row>
    <row r="7" spans="2:27" x14ac:dyDescent="0.25">
      <c r="B7" s="17"/>
      <c r="C7" s="19" t="s">
        <v>92</v>
      </c>
      <c r="D7" s="18" t="s">
        <v>93</v>
      </c>
      <c r="H7" s="17"/>
      <c r="I7" s="22" t="s">
        <v>94</v>
      </c>
      <c r="J7" s="17" t="s">
        <v>20</v>
      </c>
      <c r="K7" s="17">
        <v>32</v>
      </c>
      <c r="L7" s="17" t="s">
        <v>91</v>
      </c>
      <c r="M7" s="37">
        <f>Personal_Empresa!P32</f>
        <v>41.25</v>
      </c>
      <c r="N7" s="119">
        <f>M7*K7</f>
        <v>1320</v>
      </c>
      <c r="O7" s="120"/>
      <c r="Q7" s="155"/>
      <c r="R7" s="17"/>
      <c r="S7" s="22" t="s">
        <v>85</v>
      </c>
      <c r="T7" s="17" t="s">
        <v>90</v>
      </c>
      <c r="U7" s="17">
        <v>16</v>
      </c>
      <c r="V7" s="17" t="s">
        <v>91</v>
      </c>
      <c r="W7" s="119">
        <v>50</v>
      </c>
      <c r="X7" s="119">
        <f>W7*U7</f>
        <v>800</v>
      </c>
      <c r="Y7" s="119"/>
      <c r="Z7" s="173"/>
    </row>
    <row r="8" spans="2:27" x14ac:dyDescent="0.25">
      <c r="B8" s="17"/>
      <c r="C8" s="19" t="s">
        <v>95</v>
      </c>
      <c r="D8" s="18" t="s">
        <v>96</v>
      </c>
      <c r="H8" s="17"/>
      <c r="I8" s="22" t="s">
        <v>97</v>
      </c>
      <c r="J8" s="17" t="s">
        <v>98</v>
      </c>
      <c r="K8" s="17">
        <v>32</v>
      </c>
      <c r="L8" s="17" t="s">
        <v>91</v>
      </c>
      <c r="M8" s="37">
        <v>75</v>
      </c>
      <c r="N8" s="119">
        <f>M8*K8</f>
        <v>2400</v>
      </c>
      <c r="O8" s="120"/>
      <c r="Q8" s="155"/>
      <c r="R8" s="17"/>
      <c r="S8" s="22" t="s">
        <v>94</v>
      </c>
      <c r="T8" s="17" t="s">
        <v>20</v>
      </c>
      <c r="U8" s="17">
        <v>32</v>
      </c>
      <c r="V8" s="17" t="s">
        <v>91</v>
      </c>
      <c r="W8" s="119">
        <f>M7</f>
        <v>41.25</v>
      </c>
      <c r="X8" s="119">
        <f>W8*U8</f>
        <v>1320</v>
      </c>
      <c r="Y8" s="119"/>
      <c r="Z8" s="173"/>
    </row>
    <row r="9" spans="2:27" x14ac:dyDescent="0.25">
      <c r="B9" s="15" t="s">
        <v>94</v>
      </c>
      <c r="D9" s="16" t="s">
        <v>99</v>
      </c>
      <c r="H9" s="17"/>
      <c r="I9" s="22" t="s">
        <v>100</v>
      </c>
      <c r="J9" s="17" t="s">
        <v>101</v>
      </c>
      <c r="K9" s="17">
        <v>24</v>
      </c>
      <c r="L9" s="17" t="s">
        <v>91</v>
      </c>
      <c r="M9" s="37">
        <f>Personal_Empresa!P31</f>
        <v>45</v>
      </c>
      <c r="N9" s="119">
        <f>M9*K9</f>
        <v>1080</v>
      </c>
      <c r="O9" s="120"/>
      <c r="Q9" s="155"/>
      <c r="R9" s="17"/>
      <c r="S9" s="22" t="s">
        <v>97</v>
      </c>
      <c r="T9" s="17" t="s">
        <v>98</v>
      </c>
      <c r="U9" s="17">
        <v>32</v>
      </c>
      <c r="V9" s="17" t="s">
        <v>91</v>
      </c>
      <c r="W9" s="119">
        <v>75</v>
      </c>
      <c r="X9" s="119">
        <f>W9*U9</f>
        <v>2400</v>
      </c>
      <c r="Y9" s="119"/>
      <c r="Z9" s="173"/>
    </row>
    <row r="10" spans="2:27" x14ac:dyDescent="0.25">
      <c r="B10" s="17"/>
      <c r="C10" s="19" t="s">
        <v>92</v>
      </c>
      <c r="D10" s="18" t="s">
        <v>102</v>
      </c>
      <c r="H10" s="15" t="str">
        <f>C8</f>
        <v>002</v>
      </c>
      <c r="I10" s="17"/>
      <c r="J10" s="14" t="str">
        <f>D8</f>
        <v>Estudio de mercado (hardware y software)</v>
      </c>
      <c r="K10" s="17"/>
      <c r="L10" s="17"/>
      <c r="M10" s="37"/>
      <c r="N10" s="119"/>
      <c r="O10" s="117">
        <f>M11*K11</f>
        <v>800</v>
      </c>
      <c r="Q10" s="155"/>
      <c r="R10" s="17"/>
      <c r="S10" s="22" t="s">
        <v>100</v>
      </c>
      <c r="T10" s="17" t="s">
        <v>101</v>
      </c>
      <c r="U10" s="17">
        <v>24</v>
      </c>
      <c r="V10" s="17" t="s">
        <v>91</v>
      </c>
      <c r="W10" s="119">
        <f>M9</f>
        <v>45</v>
      </c>
      <c r="X10" s="119">
        <f>W10*U10</f>
        <v>1080</v>
      </c>
      <c r="Y10" s="119"/>
      <c r="Z10" s="173"/>
    </row>
    <row r="11" spans="2:27" x14ac:dyDescent="0.25">
      <c r="B11" s="26"/>
      <c r="C11" s="193" t="s">
        <v>95</v>
      </c>
      <c r="D11" s="59" t="s">
        <v>103</v>
      </c>
      <c r="H11" s="17"/>
      <c r="I11" s="15" t="s">
        <v>85</v>
      </c>
      <c r="J11" s="17" t="s">
        <v>90</v>
      </c>
      <c r="K11" s="17">
        <v>16</v>
      </c>
      <c r="L11" s="17" t="s">
        <v>91</v>
      </c>
      <c r="M11" s="37">
        <v>50</v>
      </c>
      <c r="N11" s="119"/>
      <c r="O11" s="29"/>
      <c r="Q11" s="155"/>
      <c r="R11" s="15" t="s">
        <v>95</v>
      </c>
      <c r="S11" s="17"/>
      <c r="T11" s="14" t="str">
        <f>J10</f>
        <v>Estudio de mercado (hardware y software)</v>
      </c>
      <c r="U11" s="17"/>
      <c r="V11" s="17"/>
      <c r="W11" s="119"/>
      <c r="X11" s="38"/>
      <c r="Y11" s="168">
        <f>W12*U12</f>
        <v>800</v>
      </c>
      <c r="Z11" s="173"/>
    </row>
    <row r="12" spans="2:27" x14ac:dyDescent="0.25">
      <c r="B12" s="15" t="s">
        <v>97</v>
      </c>
      <c r="C12" s="18" t="s">
        <v>104</v>
      </c>
      <c r="D12" s="17"/>
      <c r="Q12" s="155"/>
      <c r="R12" s="17"/>
      <c r="S12" s="15" t="s">
        <v>85</v>
      </c>
      <c r="T12" s="17" t="s">
        <v>90</v>
      </c>
      <c r="U12" s="17">
        <v>16</v>
      </c>
      <c r="V12" s="17" t="s">
        <v>91</v>
      </c>
      <c r="W12" s="119">
        <v>50</v>
      </c>
      <c r="X12" s="17"/>
      <c r="Y12" s="17"/>
      <c r="Z12" s="173"/>
    </row>
    <row r="13" spans="2:27" ht="18.75" x14ac:dyDescent="0.3">
      <c r="B13" s="17"/>
      <c r="C13" s="58" t="s">
        <v>92</v>
      </c>
      <c r="D13" s="17" t="s">
        <v>105</v>
      </c>
      <c r="I13" s="43" t="s">
        <v>106</v>
      </c>
      <c r="Q13" s="157" t="s">
        <v>94</v>
      </c>
      <c r="R13" s="17"/>
      <c r="S13" s="17"/>
      <c r="T13" s="14" t="s">
        <v>99</v>
      </c>
      <c r="U13" s="17"/>
      <c r="V13" s="17"/>
      <c r="W13" s="17"/>
      <c r="X13" s="30"/>
      <c r="Y13" s="17"/>
      <c r="Z13" s="189">
        <f>Y14+Y16</f>
        <v>212949.5</v>
      </c>
    </row>
    <row r="14" spans="2:27" ht="15.75" x14ac:dyDescent="0.25">
      <c r="H14" s="128" t="s">
        <v>77</v>
      </c>
      <c r="I14" s="129" t="s">
        <v>78</v>
      </c>
      <c r="J14" s="130" t="s">
        <v>79</v>
      </c>
      <c r="K14" s="130" t="s">
        <v>80</v>
      </c>
      <c r="L14" s="130" t="s">
        <v>81</v>
      </c>
      <c r="M14" s="130" t="s">
        <v>40</v>
      </c>
      <c r="N14" s="130" t="s">
        <v>82</v>
      </c>
      <c r="O14" s="131" t="s">
        <v>83</v>
      </c>
      <c r="Q14" s="155"/>
      <c r="R14" s="15" t="s">
        <v>92</v>
      </c>
      <c r="S14" s="17"/>
      <c r="T14" s="14" t="s">
        <v>102</v>
      </c>
      <c r="U14" s="17"/>
      <c r="V14" s="17"/>
      <c r="W14" s="17"/>
      <c r="X14" s="17"/>
      <c r="Y14" s="38">
        <f>X15</f>
        <v>2400</v>
      </c>
      <c r="Z14" s="173"/>
    </row>
    <row r="15" spans="2:27" x14ac:dyDescent="0.25">
      <c r="H15" s="135" t="s">
        <v>94</v>
      </c>
      <c r="I15" s="25"/>
      <c r="J15" s="133" t="s">
        <v>99</v>
      </c>
      <c r="K15" s="25"/>
      <c r="L15" s="25"/>
      <c r="M15" s="25"/>
      <c r="N15" s="25"/>
      <c r="O15" s="115">
        <f>O16+O18</f>
        <v>212949.5</v>
      </c>
      <c r="Q15" s="155"/>
      <c r="R15" s="17"/>
      <c r="S15" s="15" t="s">
        <v>85</v>
      </c>
      <c r="T15" s="17" t="s">
        <v>98</v>
      </c>
      <c r="U15" s="17">
        <v>32</v>
      </c>
      <c r="V15" s="17" t="s">
        <v>91</v>
      </c>
      <c r="W15" s="119">
        <f>W9</f>
        <v>75</v>
      </c>
      <c r="X15" s="119">
        <f>W15*U15</f>
        <v>2400</v>
      </c>
      <c r="Y15" s="119"/>
      <c r="Z15" s="173"/>
    </row>
    <row r="16" spans="2:27" ht="15.75" customHeight="1" x14ac:dyDescent="0.25">
      <c r="B16" s="21" t="s">
        <v>56</v>
      </c>
      <c r="D16" s="223" t="s">
        <v>107</v>
      </c>
      <c r="E16" s="223"/>
      <c r="H16" s="15" t="s">
        <v>92</v>
      </c>
      <c r="I16" s="25"/>
      <c r="J16" s="25" t="s">
        <v>102</v>
      </c>
      <c r="K16" s="25"/>
      <c r="L16" s="25"/>
      <c r="M16" s="127"/>
      <c r="N16" s="25"/>
      <c r="O16" s="115">
        <f>N17</f>
        <v>2400</v>
      </c>
      <c r="Q16" s="157"/>
      <c r="R16" s="15" t="s">
        <v>95</v>
      </c>
      <c r="S16" s="17"/>
      <c r="T16" s="14" t="s">
        <v>103</v>
      </c>
      <c r="U16" s="17"/>
      <c r="V16" s="119"/>
      <c r="W16" s="119"/>
      <c r="X16" s="17"/>
      <c r="Y16" s="38">
        <f>SUM(X17:X35)</f>
        <v>210549.5</v>
      </c>
      <c r="Z16" s="173"/>
    </row>
    <row r="17" spans="2:26" x14ac:dyDescent="0.25">
      <c r="B17" s="18" t="s">
        <v>108</v>
      </c>
      <c r="D17" s="17" t="s">
        <v>109</v>
      </c>
      <c r="E17" s="20" t="s">
        <v>110</v>
      </c>
      <c r="H17" s="26"/>
      <c r="I17" s="27" t="s">
        <v>85</v>
      </c>
      <c r="J17" s="26" t="s">
        <v>98</v>
      </c>
      <c r="K17" s="26">
        <v>32</v>
      </c>
      <c r="L17" s="26" t="s">
        <v>91</v>
      </c>
      <c r="M17" s="118">
        <f>M8</f>
        <v>75</v>
      </c>
      <c r="N17" s="119">
        <f>M17*K17</f>
        <v>2400</v>
      </c>
      <c r="O17" s="116"/>
      <c r="Q17" s="155"/>
      <c r="R17" s="17"/>
      <c r="S17" s="15" t="s">
        <v>85</v>
      </c>
      <c r="T17" s="17" t="s">
        <v>20</v>
      </c>
      <c r="U17" s="17">
        <v>18</v>
      </c>
      <c r="V17" s="17" t="s">
        <v>91</v>
      </c>
      <c r="W17" s="119">
        <f>W8</f>
        <v>41.25</v>
      </c>
      <c r="X17" s="119">
        <f>W17*U17</f>
        <v>742.5</v>
      </c>
      <c r="Y17" s="17"/>
      <c r="Z17" s="173"/>
    </row>
    <row r="18" spans="2:26" x14ac:dyDescent="0.25">
      <c r="B18" s="18" t="s">
        <v>111</v>
      </c>
      <c r="D18" s="20" t="s">
        <v>112</v>
      </c>
      <c r="E18" s="20" t="s">
        <v>113</v>
      </c>
      <c r="H18" s="15" t="str">
        <f>C11</f>
        <v>002</v>
      </c>
      <c r="I18" s="17"/>
      <c r="J18" s="14" t="s">
        <v>103</v>
      </c>
      <c r="K18" s="17"/>
      <c r="L18" s="23"/>
      <c r="M18" s="37"/>
      <c r="N18" s="119"/>
      <c r="O18" s="117">
        <f>SUM(N19:N37)</f>
        <v>210549.5</v>
      </c>
      <c r="Q18" s="155"/>
      <c r="R18" s="17"/>
      <c r="S18" s="15" t="s">
        <v>94</v>
      </c>
      <c r="T18" s="17" t="s">
        <v>111</v>
      </c>
      <c r="U18" s="17">
        <v>10</v>
      </c>
      <c r="V18" s="17" t="s">
        <v>91</v>
      </c>
      <c r="W18" s="119">
        <v>90</v>
      </c>
      <c r="X18" s="119">
        <f>W18*U18</f>
        <v>900</v>
      </c>
      <c r="Y18" s="17"/>
      <c r="Z18" s="173"/>
    </row>
    <row r="19" spans="2:26" x14ac:dyDescent="0.25">
      <c r="B19" s="20" t="s">
        <v>20</v>
      </c>
      <c r="D19" s="20" t="s">
        <v>48</v>
      </c>
      <c r="E19" s="20" t="s">
        <v>114</v>
      </c>
      <c r="H19" s="17"/>
      <c r="I19" s="15" t="s">
        <v>85</v>
      </c>
      <c r="J19" s="17" t="s">
        <v>20</v>
      </c>
      <c r="K19" s="17">
        <v>18</v>
      </c>
      <c r="L19" s="23" t="s">
        <v>91</v>
      </c>
      <c r="M19" s="37">
        <f>M7</f>
        <v>41.25</v>
      </c>
      <c r="N19" s="119">
        <f>M19*K19</f>
        <v>742.5</v>
      </c>
      <c r="O19" s="29"/>
      <c r="Q19" s="155"/>
      <c r="R19" s="17"/>
      <c r="S19" s="15" t="s">
        <v>97</v>
      </c>
      <c r="T19" s="17" t="s">
        <v>98</v>
      </c>
      <c r="U19" s="17">
        <v>40</v>
      </c>
      <c r="V19" s="17" t="s">
        <v>91</v>
      </c>
      <c r="W19" s="119">
        <v>75</v>
      </c>
      <c r="X19" s="119">
        <f>W19*U19</f>
        <v>3000</v>
      </c>
      <c r="Y19" s="17"/>
      <c r="Z19" s="173"/>
    </row>
    <row r="20" spans="2:26" x14ac:dyDescent="0.25">
      <c r="B20" s="20" t="s">
        <v>115</v>
      </c>
      <c r="D20" s="20" t="s">
        <v>116</v>
      </c>
      <c r="E20" s="20" t="s">
        <v>117</v>
      </c>
      <c r="H20" s="17"/>
      <c r="I20" s="15" t="s">
        <v>94</v>
      </c>
      <c r="J20" s="17" t="s">
        <v>111</v>
      </c>
      <c r="K20" s="17">
        <v>10</v>
      </c>
      <c r="L20" s="23" t="s">
        <v>91</v>
      </c>
      <c r="M20" s="37">
        <v>90</v>
      </c>
      <c r="N20" s="119">
        <f>M20*K20</f>
        <v>900</v>
      </c>
      <c r="O20" s="29"/>
      <c r="Q20" s="155"/>
      <c r="R20" s="17"/>
      <c r="S20" s="15" t="s">
        <v>100</v>
      </c>
      <c r="T20" s="17" t="s">
        <v>109</v>
      </c>
      <c r="U20" s="17">
        <v>94</v>
      </c>
      <c r="V20" s="17" t="s">
        <v>118</v>
      </c>
      <c r="W20" s="119">
        <v>1245</v>
      </c>
      <c r="X20" s="119">
        <f>W20*U20</f>
        <v>117030</v>
      </c>
      <c r="Y20" s="17"/>
      <c r="Z20" s="173"/>
    </row>
    <row r="21" spans="2:26" x14ac:dyDescent="0.25">
      <c r="B21" s="20" t="s">
        <v>19</v>
      </c>
      <c r="D21" s="20" t="s">
        <v>119</v>
      </c>
      <c r="E21" s="20" t="s">
        <v>120</v>
      </c>
      <c r="H21" s="26"/>
      <c r="I21" s="15" t="s">
        <v>97</v>
      </c>
      <c r="J21" s="17" t="s">
        <v>98</v>
      </c>
      <c r="K21" s="17">
        <v>40</v>
      </c>
      <c r="L21" s="23" t="s">
        <v>91</v>
      </c>
      <c r="M21" s="37">
        <v>75</v>
      </c>
      <c r="N21" s="119">
        <f>M21*K21</f>
        <v>3000</v>
      </c>
      <c r="O21" s="29"/>
      <c r="Q21" s="155"/>
      <c r="R21" s="17"/>
      <c r="S21" s="15" t="s">
        <v>121</v>
      </c>
      <c r="T21" s="17" t="s">
        <v>112</v>
      </c>
      <c r="U21" s="17">
        <v>18</v>
      </c>
      <c r="V21" s="17" t="s">
        <v>118</v>
      </c>
      <c r="W21" s="119">
        <v>290</v>
      </c>
      <c r="X21" s="119">
        <f t="shared" ref="X21:X35" si="0">W21*U21</f>
        <v>5220</v>
      </c>
      <c r="Y21" s="17"/>
      <c r="Z21" s="173"/>
    </row>
    <row r="22" spans="2:26" x14ac:dyDescent="0.25">
      <c r="D22" s="20" t="s">
        <v>55</v>
      </c>
      <c r="E22" s="20" t="s">
        <v>122</v>
      </c>
      <c r="H22" s="17"/>
      <c r="I22" s="61" t="s">
        <v>100</v>
      </c>
      <c r="J22" s="32" t="s">
        <v>109</v>
      </c>
      <c r="K22" s="23">
        <v>94</v>
      </c>
      <c r="L22" s="23" t="s">
        <v>118</v>
      </c>
      <c r="M22" s="37">
        <v>1245</v>
      </c>
      <c r="N22" s="37">
        <f>M22*K22</f>
        <v>117030</v>
      </c>
      <c r="O22" s="17"/>
      <c r="Q22" s="155"/>
      <c r="R22" s="17"/>
      <c r="S22" s="15" t="s">
        <v>123</v>
      </c>
      <c r="T22" s="20" t="s">
        <v>48</v>
      </c>
      <c r="U22" s="17">
        <v>87</v>
      </c>
      <c r="V22" s="17" t="s">
        <v>118</v>
      </c>
      <c r="W22" s="119">
        <v>200</v>
      </c>
      <c r="X22" s="119">
        <f t="shared" si="0"/>
        <v>17400</v>
      </c>
      <c r="Y22" s="17"/>
      <c r="Z22" s="173"/>
    </row>
    <row r="23" spans="2:26" x14ac:dyDescent="0.25">
      <c r="D23" s="20" t="s">
        <v>124</v>
      </c>
      <c r="E23" s="26" t="s">
        <v>125</v>
      </c>
      <c r="H23" s="17"/>
      <c r="I23" s="61" t="s">
        <v>121</v>
      </c>
      <c r="J23" s="33" t="s">
        <v>112</v>
      </c>
      <c r="K23" s="23">
        <v>18</v>
      </c>
      <c r="L23" s="23" t="s">
        <v>118</v>
      </c>
      <c r="M23" s="37">
        <v>290</v>
      </c>
      <c r="N23" s="37">
        <f t="shared" ref="N23:N37" si="1">M23*K23</f>
        <v>5220</v>
      </c>
      <c r="O23" s="17"/>
      <c r="Q23" s="155"/>
      <c r="R23" s="17"/>
      <c r="S23" s="15" t="s">
        <v>126</v>
      </c>
      <c r="T23" s="20" t="s">
        <v>116</v>
      </c>
      <c r="U23" s="17">
        <v>8</v>
      </c>
      <c r="V23" s="17" t="s">
        <v>118</v>
      </c>
      <c r="W23" s="119">
        <v>49</v>
      </c>
      <c r="X23" s="119">
        <f t="shared" si="0"/>
        <v>392</v>
      </c>
      <c r="Y23" s="17"/>
      <c r="Z23" s="173"/>
    </row>
    <row r="24" spans="2:26" x14ac:dyDescent="0.25">
      <c r="D24" s="31" t="s">
        <v>127</v>
      </c>
      <c r="E24" s="17" t="s">
        <v>61</v>
      </c>
      <c r="H24" s="17"/>
      <c r="I24" s="61" t="s">
        <v>123</v>
      </c>
      <c r="J24" s="34" t="s">
        <v>48</v>
      </c>
      <c r="K24" s="23">
        <v>87</v>
      </c>
      <c r="L24" s="23" t="s">
        <v>118</v>
      </c>
      <c r="M24" s="37">
        <v>200</v>
      </c>
      <c r="N24" s="37">
        <f t="shared" si="1"/>
        <v>17400</v>
      </c>
      <c r="O24" s="17"/>
      <c r="Q24" s="155"/>
      <c r="R24" s="17"/>
      <c r="S24" s="15" t="s">
        <v>128</v>
      </c>
      <c r="T24" s="20" t="s">
        <v>119</v>
      </c>
      <c r="U24" s="17">
        <v>7</v>
      </c>
      <c r="V24" s="17" t="s">
        <v>118</v>
      </c>
      <c r="W24" s="119">
        <v>15</v>
      </c>
      <c r="X24" s="119">
        <f t="shared" si="0"/>
        <v>105</v>
      </c>
      <c r="Y24" s="17"/>
      <c r="Z24" s="173"/>
    </row>
    <row r="25" spans="2:26" x14ac:dyDescent="0.25">
      <c r="H25" s="17"/>
      <c r="I25" s="61" t="s">
        <v>126</v>
      </c>
      <c r="J25" s="35" t="s">
        <v>116</v>
      </c>
      <c r="K25" s="23">
        <v>8</v>
      </c>
      <c r="L25" s="23" t="s">
        <v>118</v>
      </c>
      <c r="M25" s="37">
        <v>49</v>
      </c>
      <c r="N25" s="37">
        <f t="shared" si="1"/>
        <v>392</v>
      </c>
      <c r="O25" s="17"/>
      <c r="Q25" s="155"/>
      <c r="R25" s="17"/>
      <c r="S25" s="15" t="s">
        <v>129</v>
      </c>
      <c r="T25" s="20" t="s">
        <v>55</v>
      </c>
      <c r="U25" s="17">
        <v>9</v>
      </c>
      <c r="V25" s="17" t="s">
        <v>118</v>
      </c>
      <c r="W25" s="119">
        <v>700</v>
      </c>
      <c r="X25" s="119">
        <f t="shared" si="0"/>
        <v>6300</v>
      </c>
      <c r="Y25" s="17"/>
      <c r="Z25" s="173"/>
    </row>
    <row r="26" spans="2:26" x14ac:dyDescent="0.25">
      <c r="H26" s="17"/>
      <c r="I26" s="61" t="s">
        <v>128</v>
      </c>
      <c r="J26" s="35" t="s">
        <v>119</v>
      </c>
      <c r="K26" s="23">
        <v>7</v>
      </c>
      <c r="L26" s="23" t="s">
        <v>118</v>
      </c>
      <c r="M26" s="37">
        <v>15</v>
      </c>
      <c r="N26" s="37">
        <f t="shared" si="1"/>
        <v>105</v>
      </c>
      <c r="O26" s="17"/>
      <c r="Q26" s="155"/>
      <c r="R26" s="17"/>
      <c r="S26" s="15" t="s">
        <v>130</v>
      </c>
      <c r="T26" s="20" t="s">
        <v>124</v>
      </c>
      <c r="U26" s="17">
        <v>28</v>
      </c>
      <c r="V26" s="17" t="s">
        <v>118</v>
      </c>
      <c r="W26" s="119">
        <v>25</v>
      </c>
      <c r="X26" s="119">
        <f t="shared" si="0"/>
        <v>700</v>
      </c>
      <c r="Y26" s="17"/>
      <c r="Z26" s="173"/>
    </row>
    <row r="27" spans="2:26" x14ac:dyDescent="0.25">
      <c r="H27" s="17"/>
      <c r="I27" s="61" t="s">
        <v>129</v>
      </c>
      <c r="J27" s="35" t="s">
        <v>55</v>
      </c>
      <c r="K27" s="23">
        <v>9</v>
      </c>
      <c r="L27" s="23" t="s">
        <v>118</v>
      </c>
      <c r="M27" s="37">
        <v>700</v>
      </c>
      <c r="N27" s="37">
        <f t="shared" si="1"/>
        <v>6300</v>
      </c>
      <c r="O27" s="17"/>
      <c r="Q27" s="155"/>
      <c r="R27" s="17"/>
      <c r="S27" s="15" t="s">
        <v>131</v>
      </c>
      <c r="T27" s="20" t="s">
        <v>127</v>
      </c>
      <c r="U27" s="17">
        <v>36</v>
      </c>
      <c r="V27" s="17" t="s">
        <v>118</v>
      </c>
      <c r="W27" s="119">
        <v>40</v>
      </c>
      <c r="X27" s="119">
        <f t="shared" si="0"/>
        <v>1440</v>
      </c>
      <c r="Y27" s="17"/>
      <c r="Z27" s="173"/>
    </row>
    <row r="28" spans="2:26" x14ac:dyDescent="0.25">
      <c r="H28" s="17"/>
      <c r="I28" s="61" t="s">
        <v>130</v>
      </c>
      <c r="J28" s="35" t="s">
        <v>124</v>
      </c>
      <c r="K28" s="23">
        <v>28</v>
      </c>
      <c r="L28" s="23" t="s">
        <v>118</v>
      </c>
      <c r="M28" s="37">
        <v>25</v>
      </c>
      <c r="N28" s="37">
        <f t="shared" si="1"/>
        <v>700</v>
      </c>
      <c r="O28" s="17"/>
      <c r="Q28" s="155"/>
      <c r="R28" s="17"/>
      <c r="S28" s="15" t="s">
        <v>132</v>
      </c>
      <c r="T28" s="17" t="s">
        <v>61</v>
      </c>
      <c r="U28" s="17">
        <v>1</v>
      </c>
      <c r="V28" s="17" t="s">
        <v>118</v>
      </c>
      <c r="W28" s="119">
        <v>140</v>
      </c>
      <c r="X28" s="119">
        <f t="shared" si="0"/>
        <v>140</v>
      </c>
      <c r="Y28" s="17"/>
      <c r="Z28" s="173"/>
    </row>
    <row r="29" spans="2:26" x14ac:dyDescent="0.25">
      <c r="H29" s="17"/>
      <c r="I29" s="61" t="s">
        <v>131</v>
      </c>
      <c r="J29" s="35" t="s">
        <v>127</v>
      </c>
      <c r="K29" s="23">
        <v>36</v>
      </c>
      <c r="L29" s="23" t="s">
        <v>118</v>
      </c>
      <c r="M29" s="37">
        <v>40</v>
      </c>
      <c r="N29" s="37">
        <f t="shared" si="1"/>
        <v>1440</v>
      </c>
      <c r="O29" s="17"/>
      <c r="Q29" s="155"/>
      <c r="R29" s="17"/>
      <c r="S29" s="15" t="s">
        <v>133</v>
      </c>
      <c r="T29" s="20" t="s">
        <v>110</v>
      </c>
      <c r="U29" s="17">
        <v>1</v>
      </c>
      <c r="V29" s="17" t="s">
        <v>118</v>
      </c>
      <c r="W29" s="119">
        <v>25000</v>
      </c>
      <c r="X29" s="119">
        <f t="shared" si="0"/>
        <v>25000</v>
      </c>
      <c r="Y29" s="17"/>
      <c r="Z29" s="173"/>
    </row>
    <row r="30" spans="2:26" x14ac:dyDescent="0.25">
      <c r="H30" s="17"/>
      <c r="I30" s="61" t="s">
        <v>132</v>
      </c>
      <c r="J30" s="33" t="s">
        <v>61</v>
      </c>
      <c r="K30" s="23">
        <v>1</v>
      </c>
      <c r="L30" s="23" t="s">
        <v>118</v>
      </c>
      <c r="M30" s="37">
        <v>140</v>
      </c>
      <c r="N30" s="37">
        <f t="shared" si="1"/>
        <v>140</v>
      </c>
      <c r="O30" s="17"/>
      <c r="Q30" s="155"/>
      <c r="R30" s="17"/>
      <c r="S30" s="15" t="s">
        <v>134</v>
      </c>
      <c r="T30" s="20" t="s">
        <v>113</v>
      </c>
      <c r="U30" s="17">
        <v>3</v>
      </c>
      <c r="V30" s="17" t="s">
        <v>118</v>
      </c>
      <c r="W30" s="119">
        <v>25</v>
      </c>
      <c r="X30" s="119">
        <f t="shared" si="0"/>
        <v>75</v>
      </c>
      <c r="Y30" s="17"/>
      <c r="Z30" s="173"/>
    </row>
    <row r="31" spans="2:26" x14ac:dyDescent="0.25">
      <c r="H31" s="17"/>
      <c r="I31" s="61" t="s">
        <v>133</v>
      </c>
      <c r="J31" s="35" t="s">
        <v>110</v>
      </c>
      <c r="K31" s="23">
        <v>1</v>
      </c>
      <c r="L31" s="23" t="s">
        <v>118</v>
      </c>
      <c r="M31" s="37">
        <v>25000</v>
      </c>
      <c r="N31" s="37">
        <f t="shared" si="1"/>
        <v>25000</v>
      </c>
      <c r="O31" s="17"/>
      <c r="Q31" s="155"/>
      <c r="R31" s="17"/>
      <c r="S31" s="15" t="s">
        <v>135</v>
      </c>
      <c r="T31" s="20" t="s">
        <v>114</v>
      </c>
      <c r="U31" s="17">
        <v>2000</v>
      </c>
      <c r="V31" s="17" t="s">
        <v>118</v>
      </c>
      <c r="W31" s="119">
        <v>5</v>
      </c>
      <c r="X31" s="119">
        <f t="shared" si="0"/>
        <v>10000</v>
      </c>
      <c r="Y31" s="17"/>
      <c r="Z31" s="173"/>
    </row>
    <row r="32" spans="2:26" ht="15.75" x14ac:dyDescent="0.25">
      <c r="D32" s="126"/>
      <c r="H32" s="17"/>
      <c r="I32" s="61" t="s">
        <v>134</v>
      </c>
      <c r="J32" s="35" t="s">
        <v>113</v>
      </c>
      <c r="K32" s="23">
        <v>3</v>
      </c>
      <c r="L32" s="23" t="s">
        <v>118</v>
      </c>
      <c r="M32" s="37">
        <v>25</v>
      </c>
      <c r="N32" s="37">
        <f t="shared" si="1"/>
        <v>75</v>
      </c>
      <c r="O32" s="17"/>
      <c r="Q32" s="155"/>
      <c r="R32" s="17"/>
      <c r="S32" s="15" t="s">
        <v>136</v>
      </c>
      <c r="T32" s="20" t="s">
        <v>117</v>
      </c>
      <c r="U32" s="17">
        <v>500</v>
      </c>
      <c r="V32" s="17" t="s">
        <v>118</v>
      </c>
      <c r="W32" s="119">
        <v>3</v>
      </c>
      <c r="X32" s="119">
        <f t="shared" si="0"/>
        <v>1500</v>
      </c>
      <c r="Y32" s="17"/>
      <c r="Z32" s="173"/>
    </row>
    <row r="33" spans="8:26" ht="15.75" customHeight="1" x14ac:dyDescent="0.25">
      <c r="H33" s="17"/>
      <c r="I33" s="61" t="s">
        <v>135</v>
      </c>
      <c r="J33" s="35" t="s">
        <v>114</v>
      </c>
      <c r="K33" s="23">
        <v>2000</v>
      </c>
      <c r="L33" s="23" t="s">
        <v>118</v>
      </c>
      <c r="M33" s="37">
        <v>5</v>
      </c>
      <c r="N33" s="37">
        <f t="shared" si="1"/>
        <v>10000</v>
      </c>
      <c r="O33" s="17"/>
      <c r="Q33" s="155"/>
      <c r="R33" s="17"/>
      <c r="S33" s="15" t="s">
        <v>137</v>
      </c>
      <c r="T33" s="20" t="s">
        <v>120</v>
      </c>
      <c r="U33" s="17">
        <v>1</v>
      </c>
      <c r="V33" s="17" t="s">
        <v>118</v>
      </c>
      <c r="W33" s="119">
        <v>20000</v>
      </c>
      <c r="X33" s="119">
        <f t="shared" si="0"/>
        <v>20000</v>
      </c>
      <c r="Y33" s="17"/>
      <c r="Z33" s="173"/>
    </row>
    <row r="34" spans="8:26" x14ac:dyDescent="0.25">
      <c r="H34" s="17"/>
      <c r="I34" s="61" t="s">
        <v>136</v>
      </c>
      <c r="J34" s="35" t="s">
        <v>117</v>
      </c>
      <c r="K34" s="23">
        <v>500</v>
      </c>
      <c r="L34" s="23" t="s">
        <v>118</v>
      </c>
      <c r="M34" s="37">
        <v>3</v>
      </c>
      <c r="N34" s="37">
        <f t="shared" si="1"/>
        <v>1500</v>
      </c>
      <c r="O34" s="17"/>
      <c r="Q34" s="155"/>
      <c r="R34" s="17"/>
      <c r="S34" s="15" t="s">
        <v>138</v>
      </c>
      <c r="T34" s="20" t="s">
        <v>122</v>
      </c>
      <c r="U34" s="17">
        <v>5</v>
      </c>
      <c r="V34" s="17" t="s">
        <v>118</v>
      </c>
      <c r="W34" s="119">
        <v>13</v>
      </c>
      <c r="X34" s="119">
        <f t="shared" si="0"/>
        <v>65</v>
      </c>
      <c r="Y34" s="17"/>
      <c r="Z34" s="173"/>
    </row>
    <row r="35" spans="8:26" x14ac:dyDescent="0.25">
      <c r="H35" s="17"/>
      <c r="I35" s="61" t="s">
        <v>137</v>
      </c>
      <c r="J35" s="35" t="s">
        <v>120</v>
      </c>
      <c r="K35" s="23">
        <v>1</v>
      </c>
      <c r="L35" s="23" t="s">
        <v>118</v>
      </c>
      <c r="M35" s="37">
        <v>20000</v>
      </c>
      <c r="N35" s="37">
        <f t="shared" si="1"/>
        <v>20000</v>
      </c>
      <c r="O35" s="17"/>
      <c r="Q35" s="155"/>
      <c r="R35" s="17"/>
      <c r="S35" s="27" t="s">
        <v>139</v>
      </c>
      <c r="T35" s="17" t="s">
        <v>125</v>
      </c>
      <c r="U35" s="17">
        <v>1080</v>
      </c>
      <c r="V35" s="17" t="s">
        <v>140</v>
      </c>
      <c r="W35" s="119">
        <v>0.5</v>
      </c>
      <c r="X35" s="119">
        <f t="shared" si="0"/>
        <v>540</v>
      </c>
      <c r="Y35" s="26"/>
      <c r="Z35" s="173"/>
    </row>
    <row r="36" spans="8:26" x14ac:dyDescent="0.25">
      <c r="H36" s="17"/>
      <c r="I36" s="61" t="s">
        <v>138</v>
      </c>
      <c r="J36" s="36" t="s">
        <v>122</v>
      </c>
      <c r="K36" s="23">
        <v>5</v>
      </c>
      <c r="L36" s="23" t="s">
        <v>118</v>
      </c>
      <c r="M36" s="37">
        <v>13</v>
      </c>
      <c r="N36" s="37">
        <f t="shared" si="1"/>
        <v>65</v>
      </c>
      <c r="O36" s="17"/>
      <c r="Q36" s="157" t="s">
        <v>97</v>
      </c>
      <c r="R36" s="23"/>
      <c r="S36" s="17"/>
      <c r="T36" s="176" t="s">
        <v>141</v>
      </c>
      <c r="U36" s="26"/>
      <c r="V36" s="26"/>
      <c r="W36" s="26"/>
      <c r="X36" s="30"/>
      <c r="Y36" s="17"/>
      <c r="Z36" s="190">
        <f>SUM(Y37:Y37)</f>
        <v>64800</v>
      </c>
    </row>
    <row r="37" spans="8:26" x14ac:dyDescent="0.25">
      <c r="H37" s="17"/>
      <c r="I37" s="61" t="s">
        <v>139</v>
      </c>
      <c r="J37" s="33" t="s">
        <v>125</v>
      </c>
      <c r="K37" s="23">
        <v>1080</v>
      </c>
      <c r="L37" s="23" t="s">
        <v>140</v>
      </c>
      <c r="M37" s="37">
        <v>0.5</v>
      </c>
      <c r="N37" s="37">
        <f t="shared" si="1"/>
        <v>540</v>
      </c>
      <c r="O37" s="17"/>
      <c r="Q37" s="158"/>
      <c r="R37" s="175" t="s">
        <v>92</v>
      </c>
      <c r="S37" s="28"/>
      <c r="T37" s="14" t="s">
        <v>105</v>
      </c>
      <c r="U37" s="17"/>
      <c r="V37" s="17"/>
      <c r="W37" s="17"/>
      <c r="X37" s="17"/>
      <c r="Y37" s="115">
        <f>SUM(X38:X38)</f>
        <v>64800</v>
      </c>
      <c r="Z37" s="173"/>
    </row>
    <row r="38" spans="8:26" x14ac:dyDescent="0.25">
      <c r="Q38" s="159"/>
      <c r="R38" s="153"/>
      <c r="S38" s="174" t="s">
        <v>85</v>
      </c>
      <c r="T38" s="177" t="s">
        <v>111</v>
      </c>
      <c r="U38" s="177">
        <v>720</v>
      </c>
      <c r="V38" s="177" t="s">
        <v>91</v>
      </c>
      <c r="W38" s="178">
        <f>M42</f>
        <v>90</v>
      </c>
      <c r="X38" s="178">
        <f>W38*U38</f>
        <v>64800</v>
      </c>
      <c r="Y38" s="154"/>
      <c r="Z38" s="160"/>
    </row>
    <row r="39" spans="8:26" ht="18.75" x14ac:dyDescent="0.3">
      <c r="I39" s="43" t="s">
        <v>142</v>
      </c>
      <c r="Q39" s="136"/>
      <c r="R39" s="136"/>
      <c r="S39" s="30"/>
      <c r="T39" s="30"/>
      <c r="U39" s="30"/>
      <c r="V39" s="137"/>
      <c r="W39" s="137"/>
      <c r="X39" s="30"/>
      <c r="Y39" s="30"/>
    </row>
    <row r="40" spans="8:26" ht="15.75" x14ac:dyDescent="0.25">
      <c r="H40" s="144" t="s">
        <v>77</v>
      </c>
      <c r="I40" s="145" t="s">
        <v>78</v>
      </c>
      <c r="J40" s="146" t="s">
        <v>79</v>
      </c>
      <c r="K40" s="146" t="s">
        <v>80</v>
      </c>
      <c r="L40" s="146" t="s">
        <v>81</v>
      </c>
      <c r="M40" s="146" t="s">
        <v>40</v>
      </c>
      <c r="N40" s="146" t="s">
        <v>82</v>
      </c>
      <c r="O40" s="147" t="s">
        <v>83</v>
      </c>
      <c r="Q40" s="39"/>
      <c r="R40" s="40"/>
      <c r="S40" s="41"/>
      <c r="T40" s="41"/>
      <c r="U40" s="41"/>
      <c r="V40" s="41"/>
      <c r="W40" s="42"/>
      <c r="X40" s="41"/>
      <c r="Y40" s="41" t="s">
        <v>6</v>
      </c>
      <c r="Z40" s="179">
        <f>Z36+Z13+Z5</f>
        <v>284149.5</v>
      </c>
    </row>
    <row r="41" spans="8:26" x14ac:dyDescent="0.25">
      <c r="H41" s="132" t="s">
        <v>97</v>
      </c>
      <c r="I41" s="25"/>
      <c r="J41" s="133" t="s">
        <v>141</v>
      </c>
      <c r="K41" s="25"/>
      <c r="L41" s="25"/>
      <c r="M41" s="25"/>
      <c r="N41" s="25"/>
      <c r="O41" s="143">
        <f>SUM(N42:N42)</f>
        <v>64800</v>
      </c>
      <c r="Q41" s="136"/>
      <c r="R41" s="136"/>
      <c r="S41" s="30"/>
      <c r="T41" s="30"/>
      <c r="U41" s="30"/>
      <c r="V41" s="137"/>
      <c r="W41" s="137"/>
      <c r="X41" s="30"/>
      <c r="Y41" s="30"/>
    </row>
    <row r="42" spans="8:26" x14ac:dyDescent="0.25">
      <c r="H42" s="15" t="s">
        <v>92</v>
      </c>
      <c r="I42" s="15" t="s">
        <v>85</v>
      </c>
      <c r="J42" s="17" t="s">
        <v>111</v>
      </c>
      <c r="K42" s="17">
        <v>720</v>
      </c>
      <c r="L42" s="17" t="s">
        <v>91</v>
      </c>
      <c r="M42" s="119">
        <f>M20</f>
        <v>90</v>
      </c>
      <c r="N42" s="119">
        <f>M42*K42</f>
        <v>64800</v>
      </c>
      <c r="O42" s="17"/>
      <c r="Q42" s="136"/>
      <c r="R42" s="138"/>
      <c r="S42" s="30"/>
      <c r="T42" s="30"/>
      <c r="U42" s="30"/>
      <c r="V42" s="30"/>
      <c r="W42" s="30"/>
      <c r="X42" s="137"/>
      <c r="Y42" s="30"/>
    </row>
    <row r="43" spans="8:26" x14ac:dyDescent="0.25">
      <c r="H43" s="13"/>
      <c r="I43" s="13"/>
      <c r="J43" s="30"/>
      <c r="Q43" s="136"/>
      <c r="R43" s="136"/>
      <c r="S43" s="30"/>
      <c r="T43" s="30"/>
      <c r="U43" s="30"/>
      <c r="V43" s="137"/>
      <c r="W43" s="137"/>
      <c r="X43" s="30"/>
      <c r="Y43" s="30"/>
    </row>
    <row r="44" spans="8:26" x14ac:dyDescent="0.25">
      <c r="Q44" s="136"/>
      <c r="R44" s="136"/>
      <c r="S44" s="30"/>
      <c r="T44" s="30"/>
      <c r="U44" s="30"/>
      <c r="V44" s="137"/>
      <c r="W44" s="137"/>
      <c r="X44" s="30"/>
      <c r="Y44" s="30"/>
    </row>
    <row r="45" spans="8:26" x14ac:dyDescent="0.25">
      <c r="Q45" s="136"/>
      <c r="R45" s="136"/>
      <c r="S45" s="30"/>
      <c r="T45" s="30"/>
      <c r="U45" s="30"/>
      <c r="V45" s="137"/>
      <c r="W45" s="137"/>
      <c r="X45" s="30"/>
      <c r="Y45" s="30"/>
    </row>
    <row r="46" spans="8:26" x14ac:dyDescent="0.25">
      <c r="Q46" s="136"/>
      <c r="R46" s="136"/>
      <c r="S46" s="30"/>
      <c r="T46" s="30"/>
      <c r="U46" s="30"/>
      <c r="V46" s="137"/>
      <c r="W46" s="137"/>
      <c r="X46" s="30"/>
      <c r="Y46" s="30"/>
    </row>
    <row r="47" spans="8:26" x14ac:dyDescent="0.25">
      <c r="Q47" s="136"/>
      <c r="R47" s="136"/>
      <c r="S47" s="30"/>
      <c r="T47" s="30"/>
      <c r="U47" s="30"/>
      <c r="V47" s="137"/>
      <c r="W47" s="137"/>
      <c r="X47" s="30"/>
      <c r="Y47" s="30"/>
    </row>
    <row r="48" spans="8:26" x14ac:dyDescent="0.25">
      <c r="Q48" s="136"/>
      <c r="R48" s="138"/>
      <c r="S48" s="30"/>
      <c r="T48" s="30"/>
      <c r="U48" s="30"/>
      <c r="V48" s="30"/>
      <c r="W48" s="30"/>
      <c r="X48" s="137"/>
      <c r="Y48" s="30"/>
    </row>
    <row r="49" spans="17:25" x14ac:dyDescent="0.25">
      <c r="Q49" s="136"/>
      <c r="R49" s="136"/>
      <c r="S49" s="30"/>
      <c r="T49" s="30"/>
      <c r="U49" s="30"/>
      <c r="V49" s="137"/>
      <c r="W49" s="137"/>
      <c r="X49" s="30"/>
      <c r="Y49" s="30"/>
    </row>
    <row r="50" spans="17:25" x14ac:dyDescent="0.25">
      <c r="Q50" s="136"/>
      <c r="R50" s="136"/>
      <c r="S50" s="30"/>
      <c r="T50" s="30"/>
      <c r="U50" s="30"/>
      <c r="V50" s="137"/>
      <c r="W50" s="137"/>
      <c r="X50" s="30"/>
      <c r="Y50" s="30"/>
    </row>
    <row r="51" spans="17:25" x14ac:dyDescent="0.25">
      <c r="Q51" s="136"/>
      <c r="R51" s="136"/>
      <c r="S51" s="30"/>
      <c r="T51" s="30"/>
      <c r="U51" s="30"/>
      <c r="V51" s="137"/>
      <c r="W51" s="137"/>
      <c r="X51" s="30"/>
      <c r="Y51" s="30"/>
    </row>
    <row r="52" spans="17:25" x14ac:dyDescent="0.25">
      <c r="Q52" s="136"/>
      <c r="R52" s="136"/>
      <c r="S52" s="30"/>
      <c r="T52" s="30"/>
      <c r="U52" s="30"/>
      <c r="V52" s="137"/>
      <c r="W52" s="137"/>
      <c r="X52" s="30"/>
      <c r="Y52" s="30"/>
    </row>
    <row r="53" spans="17:25" x14ac:dyDescent="0.25">
      <c r="Q53" s="136"/>
      <c r="R53" s="136"/>
      <c r="S53" s="30"/>
      <c r="T53" s="30"/>
      <c r="U53" s="30"/>
      <c r="V53" s="137"/>
      <c r="W53" s="137"/>
      <c r="X53" s="30"/>
      <c r="Y53" s="30"/>
    </row>
    <row r="54" spans="17:25" x14ac:dyDescent="0.25">
      <c r="Q54" s="136"/>
      <c r="R54" s="136"/>
      <c r="S54" s="30"/>
      <c r="T54" s="30"/>
      <c r="U54" s="30"/>
      <c r="V54" s="137"/>
      <c r="W54" s="137"/>
      <c r="X54" s="30"/>
      <c r="Y54" s="30"/>
    </row>
    <row r="55" spans="17:25" x14ac:dyDescent="0.25">
      <c r="Q55" s="136"/>
      <c r="R55" s="136"/>
      <c r="S55" s="30"/>
      <c r="T55" s="30"/>
      <c r="U55" s="30"/>
      <c r="V55" s="137"/>
      <c r="W55" s="137"/>
      <c r="X55" s="30"/>
      <c r="Y55" s="30"/>
    </row>
    <row r="56" spans="17:25" x14ac:dyDescent="0.25">
      <c r="Q56" s="136"/>
      <c r="R56" s="136"/>
      <c r="S56" s="30"/>
      <c r="T56" s="30"/>
      <c r="U56" s="30"/>
      <c r="V56" s="137"/>
      <c r="W56" s="137"/>
      <c r="X56" s="30"/>
      <c r="Y56" s="30"/>
    </row>
    <row r="57" spans="17:25" x14ac:dyDescent="0.25">
      <c r="Q57" s="136"/>
      <c r="R57" s="136"/>
      <c r="S57" s="30"/>
      <c r="T57" s="30"/>
      <c r="U57" s="30"/>
      <c r="V57" s="137"/>
      <c r="W57" s="137"/>
      <c r="X57" s="30"/>
      <c r="Y57" s="30"/>
    </row>
    <row r="58" spans="17:25" x14ac:dyDescent="0.25">
      <c r="Q58" s="136"/>
      <c r="R58" s="138"/>
      <c r="S58" s="30"/>
      <c r="T58" s="30"/>
      <c r="U58" s="30"/>
      <c r="V58" s="30"/>
      <c r="W58" s="30"/>
      <c r="X58" s="137"/>
      <c r="Y58" s="30"/>
    </row>
    <row r="59" spans="17:25" x14ac:dyDescent="0.25">
      <c r="Q59" s="136"/>
      <c r="R59" s="136"/>
      <c r="S59" s="30"/>
      <c r="T59" s="30"/>
      <c r="U59" s="30"/>
      <c r="V59" s="137"/>
      <c r="W59" s="137"/>
      <c r="X59" s="30"/>
      <c r="Y59" s="30"/>
    </row>
    <row r="60" spans="17:25" x14ac:dyDescent="0.25">
      <c r="Q60" s="136"/>
      <c r="R60" s="136"/>
      <c r="S60" s="30"/>
      <c r="T60" s="30"/>
      <c r="U60" s="30"/>
      <c r="V60" s="137"/>
      <c r="W60" s="137"/>
      <c r="X60" s="30"/>
      <c r="Y60" s="30"/>
    </row>
    <row r="61" spans="17:25" x14ac:dyDescent="0.25">
      <c r="Q61" s="136"/>
      <c r="R61" s="136"/>
      <c r="S61" s="30"/>
      <c r="T61" s="30"/>
      <c r="U61" s="30"/>
      <c r="V61" s="137"/>
      <c r="W61" s="137"/>
      <c r="X61" s="30"/>
      <c r="Y61" s="30"/>
    </row>
    <row r="62" spans="17:25" x14ac:dyDescent="0.25">
      <c r="Q62" s="136"/>
      <c r="R62" s="136"/>
      <c r="S62" s="30"/>
      <c r="T62" s="30"/>
      <c r="U62" s="30"/>
      <c r="V62" s="137"/>
      <c r="W62" s="137"/>
      <c r="X62" s="30"/>
      <c r="Y62" s="30"/>
    </row>
    <row r="63" spans="17:25" x14ac:dyDescent="0.25">
      <c r="Q63" s="136"/>
      <c r="R63" s="136"/>
      <c r="S63" s="30"/>
      <c r="T63" s="30"/>
      <c r="U63" s="30"/>
      <c r="V63" s="137"/>
      <c r="W63" s="137"/>
      <c r="X63" s="30"/>
      <c r="Y63" s="30"/>
    </row>
    <row r="64" spans="17:25" x14ac:dyDescent="0.25">
      <c r="Q64" s="136"/>
      <c r="R64" s="136"/>
      <c r="S64" s="30"/>
      <c r="T64" s="30"/>
      <c r="U64" s="30"/>
      <c r="V64" s="137"/>
      <c r="W64" s="137"/>
      <c r="X64" s="30"/>
      <c r="Y64" s="30"/>
    </row>
    <row r="65" spans="17:25" x14ac:dyDescent="0.25">
      <c r="Q65" s="136"/>
      <c r="R65" s="136"/>
      <c r="S65" s="30"/>
      <c r="T65" s="30"/>
      <c r="U65" s="30"/>
      <c r="V65" s="137"/>
      <c r="W65" s="137"/>
      <c r="X65" s="30"/>
      <c r="Y65" s="30"/>
    </row>
    <row r="66" spans="17:25" x14ac:dyDescent="0.25">
      <c r="Q66" s="136"/>
      <c r="R66" s="136"/>
      <c r="S66" s="30"/>
      <c r="T66" s="30"/>
      <c r="U66" s="30"/>
      <c r="V66" s="137"/>
      <c r="W66" s="137"/>
      <c r="X66" s="30"/>
      <c r="Y66" s="30"/>
    </row>
    <row r="67" spans="17:25" x14ac:dyDescent="0.25">
      <c r="Q67" s="138"/>
      <c r="R67" s="138"/>
      <c r="S67" s="139"/>
      <c r="T67" s="30"/>
      <c r="U67" s="30"/>
      <c r="V67" s="30"/>
      <c r="W67" s="30"/>
      <c r="X67" s="30"/>
      <c r="Y67" s="140"/>
    </row>
    <row r="68" spans="17:25" x14ac:dyDescent="0.25">
      <c r="Q68" s="136"/>
      <c r="R68" s="138"/>
      <c r="S68" s="30"/>
      <c r="T68" s="30"/>
      <c r="U68" s="30"/>
      <c r="V68" s="30"/>
      <c r="W68" s="30"/>
      <c r="X68" s="137"/>
      <c r="Y68" s="30"/>
    </row>
    <row r="69" spans="17:25" x14ac:dyDescent="0.25">
      <c r="Q69" s="136"/>
      <c r="R69" s="136"/>
      <c r="S69" s="30"/>
      <c r="T69" s="30"/>
      <c r="U69" s="30"/>
      <c r="V69" s="137"/>
      <c r="W69" s="137"/>
      <c r="X69" s="30"/>
      <c r="Y69" s="30"/>
    </row>
    <row r="70" spans="17:25" x14ac:dyDescent="0.25">
      <c r="Q70" s="136"/>
      <c r="R70" s="136"/>
      <c r="S70" s="30"/>
      <c r="T70" s="30"/>
      <c r="U70" s="30"/>
      <c r="V70" s="137"/>
      <c r="W70" s="137"/>
      <c r="X70" s="30"/>
      <c r="Y70" s="30"/>
    </row>
    <row r="71" spans="17:25" x14ac:dyDescent="0.25">
      <c r="Q71" s="136"/>
      <c r="R71" s="136"/>
      <c r="S71" s="30"/>
      <c r="T71" s="30"/>
      <c r="U71" s="30"/>
      <c r="V71" s="137"/>
      <c r="W71" s="137"/>
      <c r="X71" s="30"/>
      <c r="Y71" s="30"/>
    </row>
    <row r="72" spans="17:25" x14ac:dyDescent="0.25">
      <c r="Q72" s="136"/>
      <c r="R72" s="136"/>
      <c r="S72" s="30"/>
      <c r="T72" s="30"/>
      <c r="U72" s="30"/>
      <c r="V72" s="137"/>
      <c r="W72" s="137"/>
      <c r="X72" s="30"/>
      <c r="Y72" s="30"/>
    </row>
    <row r="73" spans="17:25" x14ac:dyDescent="0.25">
      <c r="Q73" s="136"/>
      <c r="R73" s="136"/>
      <c r="S73" s="30"/>
      <c r="T73" s="30"/>
      <c r="U73" s="30"/>
      <c r="V73" s="137"/>
      <c r="W73" s="137"/>
      <c r="X73" s="30"/>
      <c r="Y73" s="30"/>
    </row>
    <row r="74" spans="17:25" x14ac:dyDescent="0.25">
      <c r="Q74" s="136"/>
      <c r="R74" s="136"/>
      <c r="S74" s="30"/>
      <c r="T74" s="30"/>
      <c r="U74" s="30"/>
      <c r="V74" s="137"/>
      <c r="W74" s="137"/>
      <c r="X74" s="30"/>
      <c r="Y74" s="30"/>
    </row>
    <row r="1048561" spans="9:9" x14ac:dyDescent="0.25">
      <c r="I1048561" s="13"/>
    </row>
  </sheetData>
  <mergeCells count="2">
    <mergeCell ref="D16:E16"/>
    <mergeCell ref="Q3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6E52-F863-4F54-87BE-B67044AEE80B}">
  <dimension ref="B2:AM76"/>
  <sheetViews>
    <sheetView tabSelected="1" topLeftCell="N40" zoomScale="85" zoomScaleNormal="85" workbookViewId="0">
      <selection activeCell="AI78" sqref="AI78"/>
    </sheetView>
  </sheetViews>
  <sheetFormatPr baseColWidth="10" defaultColWidth="11.42578125" defaultRowHeight="15" x14ac:dyDescent="0.25"/>
  <cols>
    <col min="2" max="2" width="3.42578125" customWidth="1"/>
    <col min="3" max="3" width="4" bestFit="1" customWidth="1"/>
    <col min="4" max="4" width="3.140625" customWidth="1"/>
    <col min="5" max="5" width="44.7109375" bestFit="1" customWidth="1"/>
    <col min="6" max="6" width="15.140625" bestFit="1" customWidth="1"/>
    <col min="7" max="7" width="13.5703125" bestFit="1" customWidth="1"/>
    <col min="8" max="8" width="3.5703125" customWidth="1"/>
    <col min="9" max="9" width="4" bestFit="1" customWidth="1"/>
    <col min="10" max="10" width="4" customWidth="1"/>
    <col min="11" max="11" width="43" bestFit="1" customWidth="1"/>
    <col min="12" max="12" width="9.7109375" bestFit="1" customWidth="1"/>
    <col min="13" max="13" width="10" bestFit="1" customWidth="1"/>
    <col min="14" max="14" width="8.42578125" bestFit="1" customWidth="1"/>
    <col min="15" max="16" width="12.5703125" bestFit="1" customWidth="1"/>
    <col min="17" max="17" width="13.140625" bestFit="1" customWidth="1"/>
    <col min="18" max="18" width="12.5703125" bestFit="1" customWidth="1"/>
    <col min="19" max="19" width="3.85546875" customWidth="1"/>
    <col min="20" max="20" width="4" bestFit="1" customWidth="1"/>
    <col min="21" max="21" width="3.7109375" customWidth="1"/>
    <col min="22" max="22" width="43" bestFit="1" customWidth="1"/>
    <col min="23" max="23" width="9.7109375" bestFit="1" customWidth="1"/>
    <col min="24" max="24" width="10" bestFit="1" customWidth="1"/>
    <col min="25" max="25" width="8.42578125" bestFit="1" customWidth="1"/>
    <col min="26" max="27" width="12.5703125" bestFit="1" customWidth="1"/>
    <col min="28" max="28" width="13.140625" bestFit="1" customWidth="1"/>
    <col min="29" max="29" width="12.5703125" bestFit="1" customWidth="1"/>
    <col min="30" max="30" width="3.7109375" customWidth="1"/>
    <col min="31" max="31" width="4" bestFit="1" customWidth="1"/>
    <col min="32" max="32" width="4" customWidth="1"/>
    <col min="33" max="33" width="39.28515625" bestFit="1" customWidth="1"/>
    <col min="34" max="34" width="9.7109375" bestFit="1" customWidth="1"/>
    <col min="35" max="35" width="10" bestFit="1" customWidth="1"/>
    <col min="36" max="36" width="9" bestFit="1" customWidth="1"/>
    <col min="37" max="38" width="12.5703125" bestFit="1" customWidth="1"/>
    <col min="39" max="39" width="14.28515625" bestFit="1" customWidth="1"/>
    <col min="40" max="40" width="12.5703125" bestFit="1" customWidth="1"/>
    <col min="41" max="41" width="13.28515625" bestFit="1" customWidth="1"/>
  </cols>
  <sheetData>
    <row r="2" spans="2:39" ht="15.75" thickBot="1" x14ac:dyDescent="0.3"/>
    <row r="3" spans="2:39" ht="16.5" thickBot="1" x14ac:dyDescent="0.3">
      <c r="B3" s="78" t="s">
        <v>77</v>
      </c>
      <c r="C3" s="79" t="s">
        <v>78</v>
      </c>
      <c r="D3" s="79" t="s">
        <v>87</v>
      </c>
      <c r="E3" s="76" t="s">
        <v>79</v>
      </c>
      <c r="F3" s="77" t="s">
        <v>143</v>
      </c>
      <c r="H3" s="230" t="s">
        <v>144</v>
      </c>
      <c r="I3" s="231"/>
      <c r="J3" s="231"/>
      <c r="K3" s="231"/>
      <c r="L3" s="231"/>
      <c r="M3" s="231"/>
      <c r="N3" s="231"/>
      <c r="O3" s="231"/>
      <c r="P3" s="231"/>
      <c r="Q3" s="232"/>
      <c r="S3" s="230" t="s">
        <v>145</v>
      </c>
      <c r="T3" s="231"/>
      <c r="U3" s="231"/>
      <c r="V3" s="231"/>
      <c r="W3" s="231"/>
      <c r="X3" s="231"/>
      <c r="Y3" s="231"/>
      <c r="Z3" s="231"/>
      <c r="AA3" s="231"/>
      <c r="AB3" s="232"/>
      <c r="AD3" s="230" t="s">
        <v>146</v>
      </c>
      <c r="AE3" s="231"/>
      <c r="AF3" s="231"/>
      <c r="AG3" s="231"/>
      <c r="AH3" s="231"/>
      <c r="AI3" s="231"/>
      <c r="AJ3" s="231"/>
      <c r="AK3" s="231"/>
      <c r="AL3" s="231"/>
      <c r="AM3" s="232"/>
    </row>
    <row r="4" spans="2:39" ht="16.5" thickBot="1" x14ac:dyDescent="0.3">
      <c r="B4" s="80" t="s">
        <v>85</v>
      </c>
      <c r="C4" s="81"/>
      <c r="D4" s="81"/>
      <c r="E4" s="74" t="s">
        <v>147</v>
      </c>
      <c r="F4" s="75"/>
      <c r="H4" s="78" t="s">
        <v>77</v>
      </c>
      <c r="I4" s="79" t="s">
        <v>78</v>
      </c>
      <c r="J4" s="79" t="s">
        <v>87</v>
      </c>
      <c r="K4" s="76" t="s">
        <v>79</v>
      </c>
      <c r="L4" s="76" t="s">
        <v>80</v>
      </c>
      <c r="M4" s="76" t="s">
        <v>81</v>
      </c>
      <c r="N4" s="76" t="s">
        <v>40</v>
      </c>
      <c r="O4" s="76" t="s">
        <v>88</v>
      </c>
      <c r="P4" s="76" t="s">
        <v>82</v>
      </c>
      <c r="Q4" s="77" t="s">
        <v>83</v>
      </c>
      <c r="S4" s="78" t="s">
        <v>77</v>
      </c>
      <c r="T4" s="79" t="s">
        <v>78</v>
      </c>
      <c r="U4" s="79" t="s">
        <v>87</v>
      </c>
      <c r="V4" s="76" t="s">
        <v>79</v>
      </c>
      <c r="W4" s="76" t="s">
        <v>80</v>
      </c>
      <c r="X4" s="76" t="s">
        <v>81</v>
      </c>
      <c r="Y4" s="76" t="s">
        <v>40</v>
      </c>
      <c r="Z4" s="76" t="s">
        <v>88</v>
      </c>
      <c r="AA4" s="76" t="s">
        <v>82</v>
      </c>
      <c r="AB4" s="77" t="s">
        <v>83</v>
      </c>
      <c r="AD4" s="78" t="s">
        <v>77</v>
      </c>
      <c r="AE4" s="79" t="s">
        <v>78</v>
      </c>
      <c r="AF4" s="79" t="s">
        <v>87</v>
      </c>
      <c r="AG4" s="76" t="s">
        <v>79</v>
      </c>
      <c r="AH4" s="76" t="s">
        <v>80</v>
      </c>
      <c r="AI4" s="76" t="s">
        <v>81</v>
      </c>
      <c r="AJ4" s="76" t="s">
        <v>40</v>
      </c>
      <c r="AK4" s="76" t="s">
        <v>88</v>
      </c>
      <c r="AL4" s="76" t="s">
        <v>82</v>
      </c>
      <c r="AM4" s="77" t="s">
        <v>83</v>
      </c>
    </row>
    <row r="5" spans="2:39" x14ac:dyDescent="0.25">
      <c r="B5" s="82"/>
      <c r="C5" s="83" t="s">
        <v>92</v>
      </c>
      <c r="D5" s="84"/>
      <c r="E5" s="63" t="s">
        <v>148</v>
      </c>
      <c r="F5" s="66" t="s">
        <v>89</v>
      </c>
      <c r="H5" s="80" t="s">
        <v>85</v>
      </c>
      <c r="I5" s="81"/>
      <c r="J5" s="81"/>
      <c r="K5" s="74" t="s">
        <v>149</v>
      </c>
      <c r="L5" s="73"/>
      <c r="M5" s="73"/>
      <c r="N5" s="73"/>
      <c r="O5" s="73"/>
      <c r="P5" s="73"/>
      <c r="Q5" s="94">
        <f>P6</f>
        <v>7290</v>
      </c>
      <c r="S5" s="72" t="s">
        <v>85</v>
      </c>
      <c r="T5" s="73"/>
      <c r="U5" s="73"/>
      <c r="V5" s="74" t="s">
        <v>149</v>
      </c>
      <c r="W5" s="73"/>
      <c r="X5" s="73"/>
      <c r="Y5" s="73"/>
      <c r="Z5" s="73"/>
      <c r="AA5" s="73"/>
      <c r="AB5" s="94">
        <f>AA6</f>
        <v>3240</v>
      </c>
      <c r="AD5" s="80" t="s">
        <v>85</v>
      </c>
      <c r="AE5" s="81"/>
      <c r="AF5" s="81"/>
      <c r="AG5" s="74" t="s">
        <v>147</v>
      </c>
      <c r="AH5" s="73"/>
      <c r="AI5" s="73"/>
      <c r="AJ5" s="73"/>
      <c r="AK5" s="73"/>
      <c r="AL5" s="73"/>
      <c r="AM5" s="94">
        <f>AL6</f>
        <v>10410</v>
      </c>
    </row>
    <row r="6" spans="2:39" x14ac:dyDescent="0.25">
      <c r="B6" s="85" t="s">
        <v>94</v>
      </c>
      <c r="C6" s="84"/>
      <c r="D6" s="84"/>
      <c r="E6" s="64" t="s">
        <v>150</v>
      </c>
      <c r="F6" s="66"/>
      <c r="H6" s="82"/>
      <c r="I6" s="83" t="s">
        <v>92</v>
      </c>
      <c r="J6" s="84"/>
      <c r="K6" s="53" t="s">
        <v>151</v>
      </c>
      <c r="L6" s="53"/>
      <c r="M6" s="53"/>
      <c r="N6" s="53"/>
      <c r="O6" s="53"/>
      <c r="P6" s="54">
        <f>O7+O8+O9</f>
        <v>7290</v>
      </c>
      <c r="Q6" s="66"/>
      <c r="S6" s="67"/>
      <c r="T6" s="63" t="s">
        <v>92</v>
      </c>
      <c r="U6" s="53"/>
      <c r="V6" s="53" t="s">
        <v>151</v>
      </c>
      <c r="W6" s="53"/>
      <c r="X6" s="53"/>
      <c r="Y6" s="53"/>
      <c r="Z6" s="53"/>
      <c r="AA6" s="54">
        <f>Z7+Z8+Z9</f>
        <v>3240</v>
      </c>
      <c r="AB6" s="66"/>
      <c r="AD6" s="82"/>
      <c r="AE6" s="83" t="s">
        <v>92</v>
      </c>
      <c r="AF6" s="84"/>
      <c r="AG6" s="53" t="s">
        <v>152</v>
      </c>
      <c r="AH6" s="53"/>
      <c r="AI6" s="53"/>
      <c r="AJ6" s="53"/>
      <c r="AK6" s="53"/>
      <c r="AL6" s="54">
        <f>AK7+AK8+AK9+AK10</f>
        <v>10410</v>
      </c>
      <c r="AM6" s="66"/>
    </row>
    <row r="7" spans="2:39" x14ac:dyDescent="0.25">
      <c r="B7" s="82"/>
      <c r="C7" s="83" t="s">
        <v>92</v>
      </c>
      <c r="D7" s="84"/>
      <c r="E7" s="53" t="s">
        <v>153</v>
      </c>
      <c r="F7" s="66"/>
      <c r="H7" s="82"/>
      <c r="I7" s="84"/>
      <c r="J7" s="83" t="s">
        <v>85</v>
      </c>
      <c r="K7" s="53" t="s">
        <v>154</v>
      </c>
      <c r="L7" s="53">
        <v>72</v>
      </c>
      <c r="M7" s="53" t="s">
        <v>91</v>
      </c>
      <c r="N7" s="54">
        <f>Personal_Empresa!$P$24</f>
        <v>30</v>
      </c>
      <c r="O7" s="54">
        <f>L7*N7</f>
        <v>2160</v>
      </c>
      <c r="P7" s="53"/>
      <c r="Q7" s="66"/>
      <c r="S7" s="67"/>
      <c r="T7" s="53"/>
      <c r="U7" s="63" t="s">
        <v>85</v>
      </c>
      <c r="V7" s="53" t="s">
        <v>154</v>
      </c>
      <c r="W7" s="53">
        <v>32</v>
      </c>
      <c r="X7" s="53" t="s">
        <v>91</v>
      </c>
      <c r="Y7" s="54">
        <f>Personal_Empresa!$P$24</f>
        <v>30</v>
      </c>
      <c r="Z7" s="54">
        <f>W7*Y7</f>
        <v>960</v>
      </c>
      <c r="AA7" s="53"/>
      <c r="AB7" s="66"/>
      <c r="AD7" s="82"/>
      <c r="AE7" s="84"/>
      <c r="AF7" s="83" t="s">
        <v>85</v>
      </c>
      <c r="AG7" s="53" t="s">
        <v>155</v>
      </c>
      <c r="AH7" s="53">
        <v>72</v>
      </c>
      <c r="AI7" s="53" t="s">
        <v>91</v>
      </c>
      <c r="AJ7" s="54">
        <v>50</v>
      </c>
      <c r="AK7" s="54">
        <f>AH7*AJ7</f>
        <v>3600</v>
      </c>
      <c r="AL7" s="53"/>
      <c r="AM7" s="66"/>
    </row>
    <row r="8" spans="2:39" x14ac:dyDescent="0.25">
      <c r="B8" s="82"/>
      <c r="C8" s="84"/>
      <c r="D8" s="83" t="s">
        <v>85</v>
      </c>
      <c r="E8" s="53" t="s">
        <v>156</v>
      </c>
      <c r="F8" s="66" t="s">
        <v>89</v>
      </c>
      <c r="H8" s="82"/>
      <c r="I8" s="84"/>
      <c r="J8" s="83" t="s">
        <v>94</v>
      </c>
      <c r="K8" s="53" t="s">
        <v>157</v>
      </c>
      <c r="L8" s="53">
        <v>72</v>
      </c>
      <c r="M8" s="53" t="s">
        <v>91</v>
      </c>
      <c r="N8" s="54">
        <f>Personal_Empresa!$P$23</f>
        <v>30</v>
      </c>
      <c r="O8" s="54">
        <f>L8*N8</f>
        <v>2160</v>
      </c>
      <c r="P8" s="53"/>
      <c r="Q8" s="66"/>
      <c r="S8" s="67"/>
      <c r="T8" s="53"/>
      <c r="U8" s="63" t="s">
        <v>94</v>
      </c>
      <c r="V8" s="53" t="s">
        <v>157</v>
      </c>
      <c r="W8" s="53">
        <v>32</v>
      </c>
      <c r="X8" s="53" t="s">
        <v>91</v>
      </c>
      <c r="Y8" s="54">
        <f>Personal_Empresa!$P$23</f>
        <v>30</v>
      </c>
      <c r="Z8" s="54">
        <f>W8*Y8</f>
        <v>960</v>
      </c>
      <c r="AA8" s="53"/>
      <c r="AB8" s="66"/>
      <c r="AD8" s="82"/>
      <c r="AE8" s="84"/>
      <c r="AF8" s="83" t="s">
        <v>94</v>
      </c>
      <c r="AG8" s="53" t="s">
        <v>158</v>
      </c>
      <c r="AH8" s="53">
        <v>72</v>
      </c>
      <c r="AI8" s="53" t="s">
        <v>91</v>
      </c>
      <c r="AJ8" s="54">
        <f>Personal_Empresa!$P$32</f>
        <v>41.25</v>
      </c>
      <c r="AK8" s="54">
        <f>AH8*AJ8</f>
        <v>2970</v>
      </c>
      <c r="AL8" s="53"/>
      <c r="AM8" s="66"/>
    </row>
    <row r="9" spans="2:39" x14ac:dyDescent="0.25">
      <c r="B9" s="82"/>
      <c r="C9" s="84"/>
      <c r="D9" s="83" t="s">
        <v>94</v>
      </c>
      <c r="E9" s="53" t="s">
        <v>159</v>
      </c>
      <c r="F9" s="66" t="s">
        <v>160</v>
      </c>
      <c r="H9" s="82"/>
      <c r="I9" s="84"/>
      <c r="J9" s="83" t="s">
        <v>97</v>
      </c>
      <c r="K9" s="53" t="s">
        <v>161</v>
      </c>
      <c r="L9" s="53">
        <v>72</v>
      </c>
      <c r="M9" s="53" t="s">
        <v>91</v>
      </c>
      <c r="N9" s="54">
        <f>Personal_Empresa!$P$32</f>
        <v>41.25</v>
      </c>
      <c r="O9" s="54">
        <f>L9*N9</f>
        <v>2970</v>
      </c>
      <c r="P9" s="53"/>
      <c r="Q9" s="66"/>
      <c r="S9" s="67"/>
      <c r="T9" s="53"/>
      <c r="U9" s="63" t="s">
        <v>97</v>
      </c>
      <c r="V9" s="53" t="s">
        <v>161</v>
      </c>
      <c r="W9" s="53">
        <v>32</v>
      </c>
      <c r="X9" s="53" t="s">
        <v>91</v>
      </c>
      <c r="Y9" s="54">
        <f>Personal_Empresa!$P$32</f>
        <v>41.25</v>
      </c>
      <c r="Z9" s="54">
        <f>W9*Y9</f>
        <v>1320</v>
      </c>
      <c r="AA9" s="53"/>
      <c r="AB9" s="66"/>
      <c r="AD9" s="82"/>
      <c r="AE9" s="84"/>
      <c r="AF9" s="83" t="s">
        <v>97</v>
      </c>
      <c r="AG9" s="53" t="s">
        <v>162</v>
      </c>
      <c r="AH9" s="53">
        <v>32</v>
      </c>
      <c r="AI9" s="53" t="s">
        <v>91</v>
      </c>
      <c r="AJ9" s="54">
        <v>75</v>
      </c>
      <c r="AK9" s="54">
        <f>AH9*AJ9</f>
        <v>2400</v>
      </c>
      <c r="AL9" s="53"/>
      <c r="AM9" s="66"/>
    </row>
    <row r="10" spans="2:39" x14ac:dyDescent="0.25">
      <c r="B10" s="82"/>
      <c r="C10" s="84"/>
      <c r="D10" s="62" t="s">
        <v>97</v>
      </c>
      <c r="E10" s="90" t="s">
        <v>163</v>
      </c>
      <c r="F10" s="91" t="s">
        <v>164</v>
      </c>
      <c r="H10" s="85" t="s">
        <v>94</v>
      </c>
      <c r="I10" s="83"/>
      <c r="J10" s="84"/>
      <c r="K10" s="64" t="s">
        <v>165</v>
      </c>
      <c r="L10" s="53"/>
      <c r="M10" s="53"/>
      <c r="N10" s="53"/>
      <c r="O10" s="53"/>
      <c r="P10" s="53"/>
      <c r="Q10" s="93">
        <f>P11</f>
        <v>15000</v>
      </c>
      <c r="S10" s="65" t="s">
        <v>94</v>
      </c>
      <c r="T10" s="63"/>
      <c r="U10" s="53"/>
      <c r="V10" s="64" t="s">
        <v>166</v>
      </c>
      <c r="W10" s="53"/>
      <c r="X10" s="53"/>
      <c r="Y10" s="53"/>
      <c r="Z10" s="53"/>
      <c r="AA10" s="53"/>
      <c r="AB10" s="93">
        <f>AA11</f>
        <v>2400</v>
      </c>
      <c r="AD10" s="82"/>
      <c r="AE10" s="84"/>
      <c r="AF10" s="83" t="s">
        <v>100</v>
      </c>
      <c r="AG10" s="53" t="s">
        <v>167</v>
      </c>
      <c r="AH10" s="53">
        <v>32</v>
      </c>
      <c r="AI10" s="53" t="s">
        <v>91</v>
      </c>
      <c r="AJ10" s="54">
        <f>Personal_Empresa!P31</f>
        <v>45</v>
      </c>
      <c r="AK10" s="54">
        <f>AH10*AJ10</f>
        <v>1440</v>
      </c>
      <c r="AL10" s="53"/>
      <c r="AM10" s="66"/>
    </row>
    <row r="11" spans="2:39" x14ac:dyDescent="0.25">
      <c r="B11" s="82"/>
      <c r="C11" s="83" t="s">
        <v>95</v>
      </c>
      <c r="D11" s="84"/>
      <c r="E11" s="53" t="s">
        <v>168</v>
      </c>
      <c r="F11" s="66"/>
      <c r="H11" s="82"/>
      <c r="I11" s="83" t="s">
        <v>92</v>
      </c>
      <c r="J11" s="84"/>
      <c r="K11" s="53" t="s">
        <v>153</v>
      </c>
      <c r="L11" s="53"/>
      <c r="M11" s="53"/>
      <c r="N11" s="53"/>
      <c r="O11" s="53"/>
      <c r="P11" s="54">
        <f>O12+O13+O14</f>
        <v>15000</v>
      </c>
      <c r="Q11" s="66"/>
      <c r="S11" s="67"/>
      <c r="T11" s="63" t="s">
        <v>92</v>
      </c>
      <c r="U11" s="53"/>
      <c r="V11" s="53" t="s">
        <v>169</v>
      </c>
      <c r="W11" s="53"/>
      <c r="X11" s="53"/>
      <c r="Y11" s="53"/>
      <c r="Z11" s="53"/>
      <c r="AA11" s="54">
        <f>Z12</f>
        <v>2400</v>
      </c>
      <c r="AB11" s="66"/>
      <c r="AD11" s="85" t="s">
        <v>94</v>
      </c>
      <c r="AE11" s="83"/>
      <c r="AF11" s="84"/>
      <c r="AG11" s="64" t="s">
        <v>150</v>
      </c>
      <c r="AH11" s="53"/>
      <c r="AI11" s="53"/>
      <c r="AJ11" s="53"/>
      <c r="AK11" s="53"/>
      <c r="AL11" s="53"/>
      <c r="AM11" s="93">
        <f>AL12+AL20+AL26+AL34+AL42+AL58</f>
        <v>123270</v>
      </c>
    </row>
    <row r="12" spans="2:39" x14ac:dyDescent="0.25">
      <c r="B12" s="82"/>
      <c r="C12" s="84"/>
      <c r="D12" s="83" t="s">
        <v>85</v>
      </c>
      <c r="E12" s="53" t="s">
        <v>156</v>
      </c>
      <c r="F12" s="66" t="s">
        <v>89</v>
      </c>
      <c r="H12" s="82"/>
      <c r="I12" s="84"/>
      <c r="J12" s="83" t="s">
        <v>85</v>
      </c>
      <c r="K12" s="53" t="s">
        <v>170</v>
      </c>
      <c r="L12" s="53">
        <v>160</v>
      </c>
      <c r="M12" s="53" t="s">
        <v>91</v>
      </c>
      <c r="N12" s="54">
        <f>Personal_Empresa!$P$27</f>
        <v>37.5</v>
      </c>
      <c r="O12" s="54">
        <f>L12*N12</f>
        <v>6000</v>
      </c>
      <c r="P12" s="53"/>
      <c r="Q12" s="66"/>
      <c r="S12" s="67"/>
      <c r="T12" s="53"/>
      <c r="U12" s="63" t="s">
        <v>85</v>
      </c>
      <c r="V12" s="53" t="s">
        <v>171</v>
      </c>
      <c r="W12" s="53">
        <v>64</v>
      </c>
      <c r="X12" s="53" t="s">
        <v>91</v>
      </c>
      <c r="Y12" s="54">
        <f>Personal_Empresa!$P$28</f>
        <v>37.5</v>
      </c>
      <c r="Z12" s="54">
        <f>W12*Y12</f>
        <v>2400</v>
      </c>
      <c r="AA12" s="53"/>
      <c r="AB12" s="66"/>
      <c r="AD12" s="82"/>
      <c r="AE12" s="83" t="s">
        <v>92</v>
      </c>
      <c r="AF12" s="84"/>
      <c r="AG12" s="53" t="s">
        <v>153</v>
      </c>
      <c r="AH12" s="53"/>
      <c r="AI12" s="53"/>
      <c r="AJ12" s="53"/>
      <c r="AK12" s="53"/>
      <c r="AL12" s="54">
        <f>AK13+AK14+AK15+AK16+AK17+AK18+AK19</f>
        <v>24720</v>
      </c>
      <c r="AM12" s="66"/>
    </row>
    <row r="13" spans="2:39" x14ac:dyDescent="0.25">
      <c r="B13" s="82"/>
      <c r="C13" s="84"/>
      <c r="D13" s="83" t="s">
        <v>94</v>
      </c>
      <c r="E13" s="53" t="s">
        <v>172</v>
      </c>
      <c r="F13" s="66" t="s">
        <v>160</v>
      </c>
      <c r="H13" s="82"/>
      <c r="I13" s="84"/>
      <c r="J13" s="83" t="s">
        <v>94</v>
      </c>
      <c r="K13" s="53" t="s">
        <v>173</v>
      </c>
      <c r="L13" s="53">
        <v>160</v>
      </c>
      <c r="M13" s="53" t="s">
        <v>91</v>
      </c>
      <c r="N13" s="54">
        <f>Personal_Empresa!$P$26</f>
        <v>18.75</v>
      </c>
      <c r="O13" s="54">
        <f>L13*N13</f>
        <v>3000</v>
      </c>
      <c r="P13" s="53"/>
      <c r="Q13" s="66"/>
      <c r="S13" s="65" t="s">
        <v>97</v>
      </c>
      <c r="T13" s="63"/>
      <c r="U13" s="53"/>
      <c r="V13" s="64" t="s">
        <v>164</v>
      </c>
      <c r="W13" s="53"/>
      <c r="X13" s="53"/>
      <c r="Y13" s="53"/>
      <c r="Z13" s="53"/>
      <c r="AA13" s="53"/>
      <c r="AB13" s="93">
        <f>AA14</f>
        <v>540</v>
      </c>
      <c r="AD13" s="82"/>
      <c r="AE13" s="84"/>
      <c r="AF13" s="83" t="s">
        <v>85</v>
      </c>
      <c r="AG13" s="53" t="s">
        <v>154</v>
      </c>
      <c r="AH13" s="53">
        <v>72</v>
      </c>
      <c r="AI13" s="53" t="s">
        <v>91</v>
      </c>
      <c r="AJ13" s="54">
        <f>Personal_Empresa!$P$24</f>
        <v>30</v>
      </c>
      <c r="AK13" s="54">
        <f t="shared" ref="AK13:AK19" si="0">AH13*AJ13</f>
        <v>2160</v>
      </c>
      <c r="AL13" s="53"/>
      <c r="AM13" s="66"/>
    </row>
    <row r="14" spans="2:39" x14ac:dyDescent="0.25">
      <c r="B14" s="82"/>
      <c r="C14" s="84"/>
      <c r="D14" s="62" t="s">
        <v>97</v>
      </c>
      <c r="E14" s="90" t="s">
        <v>163</v>
      </c>
      <c r="F14" s="91" t="s">
        <v>164</v>
      </c>
      <c r="H14" s="82"/>
      <c r="I14" s="84"/>
      <c r="J14" s="83" t="s">
        <v>97</v>
      </c>
      <c r="K14" s="53" t="s">
        <v>174</v>
      </c>
      <c r="L14" s="53">
        <v>160</v>
      </c>
      <c r="M14" s="53" t="s">
        <v>91</v>
      </c>
      <c r="N14" s="54">
        <f>Personal_Empresa!$P$25</f>
        <v>37.5</v>
      </c>
      <c r="O14" s="54">
        <f>L14*N14</f>
        <v>6000</v>
      </c>
      <c r="P14" s="53"/>
      <c r="Q14" s="66"/>
      <c r="S14" s="67"/>
      <c r="T14" s="63" t="s">
        <v>92</v>
      </c>
      <c r="U14" s="53"/>
      <c r="V14" s="53" t="s">
        <v>175</v>
      </c>
      <c r="W14" s="53"/>
      <c r="X14" s="53"/>
      <c r="Y14" s="53"/>
      <c r="Z14" s="53"/>
      <c r="AA14" s="54">
        <f>Z15</f>
        <v>540</v>
      </c>
      <c r="AB14" s="66"/>
      <c r="AD14" s="82"/>
      <c r="AE14" s="84"/>
      <c r="AF14" s="83" t="s">
        <v>94</v>
      </c>
      <c r="AG14" s="53" t="s">
        <v>157</v>
      </c>
      <c r="AH14" s="53">
        <v>72</v>
      </c>
      <c r="AI14" s="53" t="s">
        <v>91</v>
      </c>
      <c r="AJ14" s="54">
        <f>Personal_Empresa!$P$23</f>
        <v>30</v>
      </c>
      <c r="AK14" s="54">
        <f t="shared" si="0"/>
        <v>2160</v>
      </c>
      <c r="AL14" s="53"/>
      <c r="AM14" s="66"/>
    </row>
    <row r="15" spans="2:39" ht="15.75" thickBot="1" x14ac:dyDescent="0.3">
      <c r="B15" s="82"/>
      <c r="C15" s="83" t="s">
        <v>176</v>
      </c>
      <c r="D15" s="84"/>
      <c r="E15" s="53" t="s">
        <v>239</v>
      </c>
      <c r="F15" s="66"/>
      <c r="H15" s="85" t="s">
        <v>97</v>
      </c>
      <c r="I15" s="83"/>
      <c r="J15" s="84"/>
      <c r="K15" s="64" t="s">
        <v>164</v>
      </c>
      <c r="L15" s="53"/>
      <c r="M15" s="53"/>
      <c r="N15" s="53"/>
      <c r="O15" s="53"/>
      <c r="P15" s="53"/>
      <c r="Q15" s="93">
        <f>P16</f>
        <v>2430</v>
      </c>
      <c r="S15" s="68"/>
      <c r="T15" s="70"/>
      <c r="U15" s="69" t="s">
        <v>85</v>
      </c>
      <c r="V15" s="70" t="s">
        <v>177</v>
      </c>
      <c r="W15" s="70">
        <v>16</v>
      </c>
      <c r="X15" s="70" t="s">
        <v>91</v>
      </c>
      <c r="Y15" s="92">
        <f>Personal_Empresa!$P$29</f>
        <v>33.75</v>
      </c>
      <c r="Z15" s="92">
        <f>W15*Y15</f>
        <v>540</v>
      </c>
      <c r="AA15" s="70"/>
      <c r="AB15" s="71"/>
      <c r="AD15" s="82"/>
      <c r="AE15" s="84"/>
      <c r="AF15" s="83" t="s">
        <v>97</v>
      </c>
      <c r="AG15" s="53" t="s">
        <v>161</v>
      </c>
      <c r="AH15" s="53">
        <v>72</v>
      </c>
      <c r="AI15" s="53" t="s">
        <v>91</v>
      </c>
      <c r="AJ15" s="54">
        <f>Personal_Empresa!$P$32</f>
        <v>41.25</v>
      </c>
      <c r="AK15" s="54">
        <f t="shared" si="0"/>
        <v>2970</v>
      </c>
      <c r="AL15" s="53"/>
      <c r="AM15" s="66"/>
    </row>
    <row r="16" spans="2:39" ht="15.75" thickBot="1" x14ac:dyDescent="0.3">
      <c r="B16" s="82"/>
      <c r="C16" s="84"/>
      <c r="D16" s="83" t="s">
        <v>85</v>
      </c>
      <c r="E16" s="53" t="s">
        <v>178</v>
      </c>
      <c r="F16" s="66" t="s">
        <v>89</v>
      </c>
      <c r="H16" s="82"/>
      <c r="I16" s="83" t="s">
        <v>92</v>
      </c>
      <c r="J16" s="84"/>
      <c r="K16" s="53" t="s">
        <v>175</v>
      </c>
      <c r="L16" s="53"/>
      <c r="M16" s="53"/>
      <c r="N16" s="53"/>
      <c r="O16" s="53"/>
      <c r="P16" s="54">
        <f>O17</f>
        <v>2430</v>
      </c>
      <c r="Q16" s="66"/>
      <c r="AD16" s="82"/>
      <c r="AE16" s="84"/>
      <c r="AF16" s="83" t="s">
        <v>100</v>
      </c>
      <c r="AG16" s="53" t="s">
        <v>170</v>
      </c>
      <c r="AH16" s="53">
        <v>160</v>
      </c>
      <c r="AI16" s="53" t="s">
        <v>91</v>
      </c>
      <c r="AJ16" s="54">
        <f>Personal_Empresa!$P$27</f>
        <v>37.5</v>
      </c>
      <c r="AK16" s="54">
        <f t="shared" si="0"/>
        <v>6000</v>
      </c>
      <c r="AL16" s="53"/>
      <c r="AM16" s="66"/>
    </row>
    <row r="17" spans="2:39" ht="16.5" thickBot="1" x14ac:dyDescent="0.3">
      <c r="B17" s="82"/>
      <c r="C17" s="84"/>
      <c r="D17" s="83" t="s">
        <v>94</v>
      </c>
      <c r="E17" s="53" t="s">
        <v>243</v>
      </c>
      <c r="F17" s="66" t="s">
        <v>160</v>
      </c>
      <c r="H17" s="86"/>
      <c r="I17" s="88"/>
      <c r="J17" s="87" t="s">
        <v>85</v>
      </c>
      <c r="K17" s="70" t="s">
        <v>179</v>
      </c>
      <c r="L17" s="70">
        <v>72</v>
      </c>
      <c r="M17" s="70" t="s">
        <v>91</v>
      </c>
      <c r="N17" s="92">
        <f>Personal_Empresa!$P$30</f>
        <v>33.75</v>
      </c>
      <c r="O17" s="92">
        <f>L17*N17</f>
        <v>2430</v>
      </c>
      <c r="P17" s="70"/>
      <c r="Q17" s="71"/>
      <c r="S17" s="227" t="s">
        <v>83</v>
      </c>
      <c r="T17" s="228"/>
      <c r="U17" s="228"/>
      <c r="V17" s="228"/>
      <c r="W17" s="228"/>
      <c r="X17" s="228"/>
      <c r="Y17" s="228"/>
      <c r="Z17" s="228"/>
      <c r="AA17" s="229"/>
      <c r="AB17" s="95">
        <f>AB5+AB10+AB13</f>
        <v>6180</v>
      </c>
      <c r="AD17" s="82"/>
      <c r="AE17" s="84"/>
      <c r="AF17" s="83" t="s">
        <v>121</v>
      </c>
      <c r="AG17" s="53" t="s">
        <v>173</v>
      </c>
      <c r="AH17" s="53">
        <v>160</v>
      </c>
      <c r="AI17" s="53" t="s">
        <v>91</v>
      </c>
      <c r="AJ17" s="54">
        <f>Personal_Empresa!$P$26</f>
        <v>18.75</v>
      </c>
      <c r="AK17" s="54">
        <f t="shared" si="0"/>
        <v>3000</v>
      </c>
      <c r="AL17" s="53"/>
      <c r="AM17" s="66"/>
    </row>
    <row r="18" spans="2:39" ht="15.75" thickBot="1" x14ac:dyDescent="0.3">
      <c r="B18" s="82"/>
      <c r="C18" s="84"/>
      <c r="D18" s="62" t="s">
        <v>97</v>
      </c>
      <c r="E18" s="90" t="s">
        <v>163</v>
      </c>
      <c r="F18" s="91" t="s">
        <v>164</v>
      </c>
      <c r="J18" s="62"/>
      <c r="N18" s="89"/>
      <c r="O18" s="89"/>
      <c r="AD18" s="82"/>
      <c r="AE18" s="84"/>
      <c r="AF18" s="83" t="s">
        <v>123</v>
      </c>
      <c r="AG18" s="53" t="s">
        <v>174</v>
      </c>
      <c r="AH18" s="53">
        <v>160</v>
      </c>
      <c r="AI18" s="53" t="s">
        <v>91</v>
      </c>
      <c r="AJ18" s="105">
        <f>Personal_Empresa!$P$25</f>
        <v>37.5</v>
      </c>
      <c r="AK18" s="54">
        <f t="shared" si="0"/>
        <v>6000</v>
      </c>
      <c r="AL18" s="53"/>
      <c r="AM18" s="66"/>
    </row>
    <row r="19" spans="2:39" ht="16.5" thickBot="1" x14ac:dyDescent="0.3">
      <c r="B19" s="82"/>
      <c r="C19" s="83" t="s">
        <v>180</v>
      </c>
      <c r="D19" s="84"/>
      <c r="E19" s="53" t="s">
        <v>181</v>
      </c>
      <c r="F19" s="66"/>
      <c r="H19" s="227" t="s">
        <v>83</v>
      </c>
      <c r="I19" s="228"/>
      <c r="J19" s="228"/>
      <c r="K19" s="228"/>
      <c r="L19" s="228"/>
      <c r="M19" s="228"/>
      <c r="N19" s="228"/>
      <c r="O19" s="228"/>
      <c r="P19" s="229"/>
      <c r="Q19" s="95">
        <f>Q5+Q10+Q15</f>
        <v>24720</v>
      </c>
      <c r="S19" s="230" t="s">
        <v>182</v>
      </c>
      <c r="T19" s="231"/>
      <c r="U19" s="231"/>
      <c r="V19" s="231"/>
      <c r="W19" s="231"/>
      <c r="X19" s="231"/>
      <c r="Y19" s="231"/>
      <c r="Z19" s="231"/>
      <c r="AA19" s="231"/>
      <c r="AB19" s="232"/>
      <c r="AD19" s="82"/>
      <c r="AE19" s="84"/>
      <c r="AF19" s="83" t="s">
        <v>126</v>
      </c>
      <c r="AG19" s="53" t="s">
        <v>179</v>
      </c>
      <c r="AH19" s="53">
        <v>72</v>
      </c>
      <c r="AI19" s="103" t="s">
        <v>91</v>
      </c>
      <c r="AJ19" s="54">
        <f>Personal_Empresa!$P$30</f>
        <v>33.75</v>
      </c>
      <c r="AK19" s="104">
        <f t="shared" si="0"/>
        <v>2430</v>
      </c>
      <c r="AL19" s="53"/>
      <c r="AM19" s="66"/>
    </row>
    <row r="20" spans="2:39" ht="16.5" thickBot="1" x14ac:dyDescent="0.3">
      <c r="B20" s="82"/>
      <c r="C20" s="84"/>
      <c r="D20" s="83" t="s">
        <v>85</v>
      </c>
      <c r="E20" s="53" t="s">
        <v>156</v>
      </c>
      <c r="F20" s="66" t="s">
        <v>89</v>
      </c>
      <c r="S20" s="96" t="s">
        <v>77</v>
      </c>
      <c r="T20" s="97" t="s">
        <v>78</v>
      </c>
      <c r="U20" s="97" t="s">
        <v>87</v>
      </c>
      <c r="V20" s="98" t="s">
        <v>79</v>
      </c>
      <c r="W20" s="98" t="s">
        <v>80</v>
      </c>
      <c r="X20" s="98" t="s">
        <v>81</v>
      </c>
      <c r="Y20" s="98" t="s">
        <v>40</v>
      </c>
      <c r="Z20" s="98" t="s">
        <v>88</v>
      </c>
      <c r="AA20" s="98" t="s">
        <v>82</v>
      </c>
      <c r="AB20" s="99" t="s">
        <v>83</v>
      </c>
      <c r="AD20" s="82"/>
      <c r="AE20" s="83" t="s">
        <v>95</v>
      </c>
      <c r="AF20" s="84"/>
      <c r="AG20" s="53" t="s">
        <v>168</v>
      </c>
      <c r="AH20" s="53"/>
      <c r="AI20" s="53"/>
      <c r="AJ20" s="53"/>
      <c r="AK20" s="53"/>
      <c r="AL20" s="54">
        <f>AK21+AK22+AK23+AK24+AK25</f>
        <v>14580</v>
      </c>
      <c r="AM20" s="66"/>
    </row>
    <row r="21" spans="2:39" ht="16.5" thickBot="1" x14ac:dyDescent="0.3">
      <c r="B21" s="82"/>
      <c r="C21" s="84"/>
      <c r="D21" s="83" t="s">
        <v>94</v>
      </c>
      <c r="E21" s="53" t="s">
        <v>183</v>
      </c>
      <c r="F21" s="66" t="s">
        <v>160</v>
      </c>
      <c r="H21" s="230" t="s">
        <v>184</v>
      </c>
      <c r="I21" s="231"/>
      <c r="J21" s="231"/>
      <c r="K21" s="231"/>
      <c r="L21" s="231"/>
      <c r="M21" s="231"/>
      <c r="N21" s="231"/>
      <c r="O21" s="231"/>
      <c r="P21" s="231"/>
      <c r="Q21" s="232"/>
      <c r="S21" s="113" t="s">
        <v>85</v>
      </c>
      <c r="T21" s="114"/>
      <c r="U21" s="114"/>
      <c r="V21" s="101" t="s">
        <v>149</v>
      </c>
      <c r="W21" s="100"/>
      <c r="X21" s="100"/>
      <c r="Y21" s="100"/>
      <c r="Z21" s="100"/>
      <c r="AA21" s="100"/>
      <c r="AB21" s="102">
        <f>AA22</f>
        <v>9720</v>
      </c>
      <c r="AD21" s="82"/>
      <c r="AE21" s="84"/>
      <c r="AF21" s="83" t="s">
        <v>85</v>
      </c>
      <c r="AG21" s="53" t="s">
        <v>154</v>
      </c>
      <c r="AH21" s="53">
        <v>72</v>
      </c>
      <c r="AI21" s="53" t="s">
        <v>91</v>
      </c>
      <c r="AJ21" s="54">
        <f>Personal_Empresa!$P$24</f>
        <v>30</v>
      </c>
      <c r="AK21" s="54">
        <f>AH21*AJ21</f>
        <v>2160</v>
      </c>
      <c r="AL21" s="53"/>
      <c r="AM21" s="66"/>
    </row>
    <row r="22" spans="2:39" ht="16.5" thickBot="1" x14ac:dyDescent="0.3">
      <c r="B22" s="82"/>
      <c r="C22" s="84"/>
      <c r="D22" s="62" t="s">
        <v>97</v>
      </c>
      <c r="E22" s="90" t="s">
        <v>163</v>
      </c>
      <c r="F22" s="91" t="s">
        <v>164</v>
      </c>
      <c r="H22" s="78" t="s">
        <v>77</v>
      </c>
      <c r="I22" s="79" t="s">
        <v>78</v>
      </c>
      <c r="J22" s="79" t="s">
        <v>87</v>
      </c>
      <c r="K22" s="76" t="s">
        <v>79</v>
      </c>
      <c r="L22" s="76" t="s">
        <v>80</v>
      </c>
      <c r="M22" s="76" t="s">
        <v>81</v>
      </c>
      <c r="N22" s="76" t="s">
        <v>40</v>
      </c>
      <c r="O22" s="76" t="s">
        <v>88</v>
      </c>
      <c r="P22" s="76" t="s">
        <v>82</v>
      </c>
      <c r="Q22" s="77" t="s">
        <v>83</v>
      </c>
      <c r="S22" s="82"/>
      <c r="T22" s="83" t="s">
        <v>92</v>
      </c>
      <c r="U22" s="84"/>
      <c r="V22" s="53" t="s">
        <v>151</v>
      </c>
      <c r="W22" s="53"/>
      <c r="X22" s="53"/>
      <c r="Y22" s="53"/>
      <c r="Z22" s="53"/>
      <c r="AA22" s="54">
        <f>Z23+Z24+Z25</f>
        <v>9720</v>
      </c>
      <c r="AB22" s="66"/>
      <c r="AD22" s="82"/>
      <c r="AE22" s="84"/>
      <c r="AF22" s="83" t="s">
        <v>94</v>
      </c>
      <c r="AG22" s="53" t="s">
        <v>157</v>
      </c>
      <c r="AH22" s="53">
        <v>72</v>
      </c>
      <c r="AI22" s="53" t="s">
        <v>91</v>
      </c>
      <c r="AJ22" s="54">
        <f>Personal_Empresa!$P$23</f>
        <v>30</v>
      </c>
      <c r="AK22" s="54">
        <f>AH22*AJ22</f>
        <v>2160</v>
      </c>
      <c r="AL22" s="53"/>
      <c r="AM22" s="66"/>
    </row>
    <row r="23" spans="2:39" x14ac:dyDescent="0.25">
      <c r="B23" s="82"/>
      <c r="C23" s="83" t="s">
        <v>185</v>
      </c>
      <c r="D23" s="84"/>
      <c r="E23" s="53" t="s">
        <v>169</v>
      </c>
      <c r="F23" s="66"/>
      <c r="H23" s="80" t="s">
        <v>85</v>
      </c>
      <c r="I23" s="81"/>
      <c r="J23" s="81"/>
      <c r="K23" s="74" t="s">
        <v>149</v>
      </c>
      <c r="L23" s="73"/>
      <c r="M23" s="73"/>
      <c r="N23" s="73"/>
      <c r="O23" s="73"/>
      <c r="P23" s="73"/>
      <c r="Q23" s="94">
        <f>P24</f>
        <v>7290</v>
      </c>
      <c r="S23" s="82"/>
      <c r="T23" s="84"/>
      <c r="U23" s="83" t="s">
        <v>85</v>
      </c>
      <c r="V23" s="53" t="s">
        <v>154</v>
      </c>
      <c r="W23" s="53">
        <v>96</v>
      </c>
      <c r="X23" s="53" t="s">
        <v>91</v>
      </c>
      <c r="Y23" s="54">
        <f>Personal_Empresa!$P$24</f>
        <v>30</v>
      </c>
      <c r="Z23" s="54">
        <f>W23*Y23</f>
        <v>2880</v>
      </c>
      <c r="AA23" s="53"/>
      <c r="AB23" s="66"/>
      <c r="AD23" s="82"/>
      <c r="AE23" s="84"/>
      <c r="AF23" s="83" t="s">
        <v>97</v>
      </c>
      <c r="AG23" s="53" t="s">
        <v>161</v>
      </c>
      <c r="AH23" s="53">
        <v>72</v>
      </c>
      <c r="AI23" s="53" t="s">
        <v>91</v>
      </c>
      <c r="AJ23" s="54">
        <f>Personal_Empresa!$P$32</f>
        <v>41.25</v>
      </c>
      <c r="AK23" s="54">
        <f>AH23*AJ23</f>
        <v>2970</v>
      </c>
      <c r="AL23" s="53"/>
      <c r="AM23" s="66"/>
    </row>
    <row r="24" spans="2:39" x14ac:dyDescent="0.25">
      <c r="B24" s="82"/>
      <c r="C24" s="84"/>
      <c r="D24" s="83" t="s">
        <v>85</v>
      </c>
      <c r="E24" s="53" t="s">
        <v>156</v>
      </c>
      <c r="F24" s="66" t="s">
        <v>89</v>
      </c>
      <c r="H24" s="82"/>
      <c r="I24" s="83" t="s">
        <v>92</v>
      </c>
      <c r="J24" s="84"/>
      <c r="K24" s="53" t="s">
        <v>151</v>
      </c>
      <c r="L24" s="53"/>
      <c r="M24" s="53"/>
      <c r="N24" s="53"/>
      <c r="O24" s="53"/>
      <c r="P24" s="54">
        <f>O25+O26+O27</f>
        <v>7290</v>
      </c>
      <c r="Q24" s="66"/>
      <c r="S24" s="82"/>
      <c r="T24" s="84"/>
      <c r="U24" s="83" t="s">
        <v>94</v>
      </c>
      <c r="V24" s="53" t="s">
        <v>157</v>
      </c>
      <c r="W24" s="53">
        <v>96</v>
      </c>
      <c r="X24" s="53" t="s">
        <v>91</v>
      </c>
      <c r="Y24" s="54">
        <f>Personal_Empresa!$P$23</f>
        <v>30</v>
      </c>
      <c r="Z24" s="54">
        <f>W24*Y24</f>
        <v>2880</v>
      </c>
      <c r="AA24" s="53"/>
      <c r="AB24" s="66"/>
      <c r="AD24" s="82"/>
      <c r="AE24" s="84"/>
      <c r="AF24" s="83" t="s">
        <v>100</v>
      </c>
      <c r="AG24" s="53" t="s">
        <v>171</v>
      </c>
      <c r="AH24" s="53">
        <v>144</v>
      </c>
      <c r="AI24" s="53" t="s">
        <v>91</v>
      </c>
      <c r="AJ24" s="54">
        <f>Personal_Empresa!$P$28</f>
        <v>37.5</v>
      </c>
      <c r="AK24" s="54">
        <f>AH24*AJ24</f>
        <v>5400</v>
      </c>
      <c r="AL24" s="53"/>
      <c r="AM24" s="66"/>
    </row>
    <row r="25" spans="2:39" x14ac:dyDescent="0.25">
      <c r="B25" s="82"/>
      <c r="C25" s="84"/>
      <c r="D25" s="83" t="s">
        <v>94</v>
      </c>
      <c r="E25" s="53" t="s">
        <v>186</v>
      </c>
      <c r="F25" s="66" t="s">
        <v>160</v>
      </c>
      <c r="H25" s="82"/>
      <c r="I25" s="84"/>
      <c r="J25" s="83" t="s">
        <v>85</v>
      </c>
      <c r="K25" s="53" t="s">
        <v>154</v>
      </c>
      <c r="L25" s="53">
        <v>72</v>
      </c>
      <c r="M25" s="53" t="s">
        <v>91</v>
      </c>
      <c r="N25" s="54">
        <f>Personal_Empresa!$P$24</f>
        <v>30</v>
      </c>
      <c r="O25" s="54">
        <f>L25*N25</f>
        <v>2160</v>
      </c>
      <c r="P25" s="53"/>
      <c r="Q25" s="66"/>
      <c r="S25" s="82"/>
      <c r="T25" s="84"/>
      <c r="U25" s="83" t="s">
        <v>97</v>
      </c>
      <c r="V25" s="53" t="s">
        <v>161</v>
      </c>
      <c r="W25" s="53">
        <v>96</v>
      </c>
      <c r="X25" s="53" t="s">
        <v>91</v>
      </c>
      <c r="Y25" s="54">
        <f>Personal_Empresa!$P$32</f>
        <v>41.25</v>
      </c>
      <c r="Z25" s="54">
        <f>W25*Y25</f>
        <v>3960</v>
      </c>
      <c r="AA25" s="53"/>
      <c r="AB25" s="66"/>
      <c r="AD25" s="82"/>
      <c r="AE25" s="84"/>
      <c r="AF25" s="83" t="s">
        <v>121</v>
      </c>
      <c r="AG25" s="53" t="s">
        <v>187</v>
      </c>
      <c r="AH25" s="53">
        <v>56</v>
      </c>
      <c r="AI25" s="53" t="s">
        <v>91</v>
      </c>
      <c r="AJ25" s="54">
        <f>Personal_Empresa!$P$29</f>
        <v>33.75</v>
      </c>
      <c r="AK25" s="54">
        <f>AH25*AJ25</f>
        <v>1890</v>
      </c>
      <c r="AL25" s="53"/>
      <c r="AM25" s="66"/>
    </row>
    <row r="26" spans="2:39" x14ac:dyDescent="0.25">
      <c r="B26" s="82"/>
      <c r="C26" s="84"/>
      <c r="D26" s="62" t="s">
        <v>97</v>
      </c>
      <c r="E26" s="90" t="s">
        <v>163</v>
      </c>
      <c r="F26" s="91" t="s">
        <v>164</v>
      </c>
      <c r="H26" s="82"/>
      <c r="I26" s="84"/>
      <c r="J26" s="83" t="s">
        <v>94</v>
      </c>
      <c r="K26" s="53" t="s">
        <v>157</v>
      </c>
      <c r="L26" s="53">
        <v>72</v>
      </c>
      <c r="M26" s="53" t="s">
        <v>91</v>
      </c>
      <c r="N26" s="54">
        <f>Personal_Empresa!$P$23</f>
        <v>30</v>
      </c>
      <c r="O26" s="54">
        <f>L26*N26</f>
        <v>2160</v>
      </c>
      <c r="P26" s="53"/>
      <c r="Q26" s="66"/>
      <c r="S26" s="85" t="s">
        <v>94</v>
      </c>
      <c r="T26" s="83"/>
      <c r="U26" s="84"/>
      <c r="V26" s="64" t="s">
        <v>188</v>
      </c>
      <c r="W26" s="53"/>
      <c r="X26" s="53"/>
      <c r="Y26" s="53"/>
      <c r="Z26" s="53"/>
      <c r="AA26" s="53"/>
      <c r="AB26" s="93">
        <f>AA27</f>
        <v>23100</v>
      </c>
      <c r="AD26" s="82"/>
      <c r="AE26" s="83" t="s">
        <v>176</v>
      </c>
      <c r="AF26" s="84"/>
      <c r="AG26" s="53" t="s">
        <v>241</v>
      </c>
      <c r="AH26" s="53"/>
      <c r="AI26" s="53"/>
      <c r="AJ26" s="53"/>
      <c r="AK26" s="53"/>
      <c r="AL26" s="54">
        <f>AK27+AK28+AK29+AK30+AK31+AK32+AK33</f>
        <v>32550</v>
      </c>
      <c r="AM26" s="66"/>
    </row>
    <row r="27" spans="2:39" x14ac:dyDescent="0.25">
      <c r="B27" s="82"/>
      <c r="C27" s="83" t="s">
        <v>189</v>
      </c>
      <c r="D27" s="84"/>
      <c r="E27" s="53" t="s">
        <v>190</v>
      </c>
      <c r="F27" s="66"/>
      <c r="H27" s="82"/>
      <c r="I27" s="84"/>
      <c r="J27" s="83" t="s">
        <v>97</v>
      </c>
      <c r="K27" s="53" t="s">
        <v>161</v>
      </c>
      <c r="L27" s="53">
        <v>72</v>
      </c>
      <c r="M27" s="53" t="s">
        <v>91</v>
      </c>
      <c r="N27" s="54">
        <f>Personal_Empresa!$P$32</f>
        <v>41.25</v>
      </c>
      <c r="O27" s="54">
        <f>L27*N27</f>
        <v>2970</v>
      </c>
      <c r="P27" s="53"/>
      <c r="Q27" s="66"/>
      <c r="S27" s="82"/>
      <c r="T27" s="83" t="s">
        <v>92</v>
      </c>
      <c r="U27" s="84"/>
      <c r="V27" s="53" t="s">
        <v>190</v>
      </c>
      <c r="W27" s="53"/>
      <c r="X27" s="53"/>
      <c r="Y27" s="53"/>
      <c r="Z27" s="53"/>
      <c r="AA27" s="54">
        <f>Z28+Z29+Z30+Z31</f>
        <v>23100</v>
      </c>
      <c r="AB27" s="66"/>
      <c r="AD27" s="82"/>
      <c r="AE27" s="84"/>
      <c r="AF27" s="83" t="s">
        <v>85</v>
      </c>
      <c r="AG27" s="53" t="s">
        <v>154</v>
      </c>
      <c r="AH27" s="53">
        <v>120</v>
      </c>
      <c r="AI27" s="53" t="s">
        <v>91</v>
      </c>
      <c r="AJ27" s="54">
        <f>Personal_Empresa!$P$24</f>
        <v>30</v>
      </c>
      <c r="AK27" s="54">
        <f>AH27*AJ27</f>
        <v>3600</v>
      </c>
      <c r="AL27" s="53"/>
      <c r="AM27" s="66"/>
    </row>
    <row r="28" spans="2:39" x14ac:dyDescent="0.25">
      <c r="B28" s="82"/>
      <c r="C28" s="84"/>
      <c r="D28" s="83" t="s">
        <v>85</v>
      </c>
      <c r="E28" s="53" t="s">
        <v>156</v>
      </c>
      <c r="F28" s="66" t="s">
        <v>89</v>
      </c>
      <c r="H28" s="85" t="s">
        <v>94</v>
      </c>
      <c r="I28" s="83"/>
      <c r="J28" s="84"/>
      <c r="K28" s="64" t="s">
        <v>191</v>
      </c>
      <c r="L28" s="53"/>
      <c r="M28" s="53"/>
      <c r="N28" s="53"/>
      <c r="O28" s="53"/>
      <c r="P28" s="53"/>
      <c r="Q28" s="93">
        <f>P29</f>
        <v>5400</v>
      </c>
      <c r="S28" s="82"/>
      <c r="T28" s="84"/>
      <c r="U28" s="83" t="s">
        <v>85</v>
      </c>
      <c r="V28" s="53" t="s">
        <v>170</v>
      </c>
      <c r="W28" s="53">
        <v>176</v>
      </c>
      <c r="X28" s="53" t="s">
        <v>91</v>
      </c>
      <c r="Y28" s="54">
        <f>Personal_Empresa!$P$27</f>
        <v>37.5</v>
      </c>
      <c r="Z28" s="54">
        <f>W28*Y28</f>
        <v>6600</v>
      </c>
      <c r="AA28" s="53"/>
      <c r="AB28" s="66"/>
      <c r="AD28" s="82"/>
      <c r="AE28" s="84"/>
      <c r="AF28" s="83" t="s">
        <v>94</v>
      </c>
      <c r="AG28" s="53" t="s">
        <v>157</v>
      </c>
      <c r="AH28" s="53">
        <v>120</v>
      </c>
      <c r="AI28" s="53" t="s">
        <v>91</v>
      </c>
      <c r="AJ28" s="54">
        <f>Personal_Empresa!$P$23</f>
        <v>30</v>
      </c>
      <c r="AK28" s="54">
        <f>AH28*AJ28</f>
        <v>3600</v>
      </c>
      <c r="AL28" s="53"/>
      <c r="AM28" s="66"/>
    </row>
    <row r="29" spans="2:39" x14ac:dyDescent="0.25">
      <c r="B29" s="82"/>
      <c r="C29" s="84"/>
      <c r="D29" s="83" t="s">
        <v>94</v>
      </c>
      <c r="E29" s="53" t="s">
        <v>192</v>
      </c>
      <c r="F29" s="66" t="s">
        <v>160</v>
      </c>
      <c r="H29" s="82"/>
      <c r="I29" s="83" t="s">
        <v>92</v>
      </c>
      <c r="J29" s="84"/>
      <c r="K29" s="53" t="s">
        <v>168</v>
      </c>
      <c r="L29" s="53"/>
      <c r="M29" s="53"/>
      <c r="N29" s="53"/>
      <c r="O29" s="53"/>
      <c r="P29" s="54">
        <f>O30</f>
        <v>5400</v>
      </c>
      <c r="Q29" s="66"/>
      <c r="S29" s="82"/>
      <c r="T29" s="84"/>
      <c r="U29" s="83" t="s">
        <v>94</v>
      </c>
      <c r="V29" s="53" t="s">
        <v>173</v>
      </c>
      <c r="W29" s="53">
        <v>176</v>
      </c>
      <c r="X29" s="53" t="s">
        <v>91</v>
      </c>
      <c r="Y29" s="54">
        <f>Personal_Empresa!$P$26</f>
        <v>18.75</v>
      </c>
      <c r="Z29" s="54">
        <f>W29*Y29</f>
        <v>3300</v>
      </c>
      <c r="AA29" s="53"/>
      <c r="AB29" s="66"/>
      <c r="AD29" s="82"/>
      <c r="AE29" s="84"/>
      <c r="AF29" s="83" t="s">
        <v>97</v>
      </c>
      <c r="AG29" s="53" t="s">
        <v>161</v>
      </c>
      <c r="AH29" s="53">
        <v>120</v>
      </c>
      <c r="AI29" s="53" t="s">
        <v>91</v>
      </c>
      <c r="AJ29" s="54">
        <f>Personal_Empresa!$P$32</f>
        <v>41.25</v>
      </c>
      <c r="AK29" s="54">
        <f>AH29*AJ29</f>
        <v>4950</v>
      </c>
      <c r="AL29" s="53"/>
      <c r="AM29" s="66"/>
    </row>
    <row r="30" spans="2:39" x14ac:dyDescent="0.25">
      <c r="B30" s="82"/>
      <c r="C30" s="84"/>
      <c r="D30" s="62" t="s">
        <v>97</v>
      </c>
      <c r="E30" s="90" t="s">
        <v>163</v>
      </c>
      <c r="F30" s="91" t="s">
        <v>164</v>
      </c>
      <c r="H30" s="82"/>
      <c r="I30" s="84"/>
      <c r="J30" s="83" t="s">
        <v>85</v>
      </c>
      <c r="K30" s="53" t="s">
        <v>171</v>
      </c>
      <c r="L30" s="53">
        <v>144</v>
      </c>
      <c r="M30" s="53" t="s">
        <v>91</v>
      </c>
      <c r="N30" s="54">
        <f>Personal_Empresa!$P$28</f>
        <v>37.5</v>
      </c>
      <c r="O30" s="54">
        <f>L30*N30</f>
        <v>5400</v>
      </c>
      <c r="P30" s="53"/>
      <c r="Q30" s="66"/>
      <c r="S30" s="82"/>
      <c r="T30" s="84"/>
      <c r="U30" s="83" t="s">
        <v>97</v>
      </c>
      <c r="V30" s="53" t="s">
        <v>174</v>
      </c>
      <c r="W30" s="53">
        <v>176</v>
      </c>
      <c r="X30" s="53" t="s">
        <v>91</v>
      </c>
      <c r="Y30" s="54">
        <f>Personal_Empresa!$P$25</f>
        <v>37.5</v>
      </c>
      <c r="Z30" s="54">
        <f>W30*Y30</f>
        <v>6600</v>
      </c>
      <c r="AA30" s="53"/>
      <c r="AB30" s="66"/>
      <c r="AD30" s="82"/>
      <c r="AE30" s="84"/>
      <c r="AF30" s="83" t="s">
        <v>100</v>
      </c>
      <c r="AG30" s="53" t="s">
        <v>171</v>
      </c>
      <c r="AH30" s="53">
        <v>160</v>
      </c>
      <c r="AI30" s="53" t="s">
        <v>91</v>
      </c>
      <c r="AJ30" s="54">
        <f>Personal_Empresa!$P$28</f>
        <v>37.5</v>
      </c>
      <c r="AK30" s="54">
        <f>AH30*AJ30</f>
        <v>6000</v>
      </c>
      <c r="AL30" s="53"/>
      <c r="AM30" s="66"/>
    </row>
    <row r="31" spans="2:39" x14ac:dyDescent="0.25">
      <c r="B31" s="82"/>
      <c r="C31" s="83" t="s">
        <v>193</v>
      </c>
      <c r="D31" s="84"/>
      <c r="E31" s="53" t="s">
        <v>194</v>
      </c>
      <c r="F31" s="66"/>
      <c r="H31" s="85" t="s">
        <v>97</v>
      </c>
      <c r="I31" s="83"/>
      <c r="J31" s="84"/>
      <c r="K31" s="64" t="s">
        <v>164</v>
      </c>
      <c r="L31" s="53"/>
      <c r="M31" s="53"/>
      <c r="N31" s="53"/>
      <c r="O31" s="53"/>
      <c r="P31" s="53"/>
      <c r="Q31" s="93">
        <f>P32</f>
        <v>1890</v>
      </c>
      <c r="S31" s="82"/>
      <c r="T31" s="84"/>
      <c r="U31" s="83" t="s">
        <v>100</v>
      </c>
      <c r="V31" s="53" t="s">
        <v>171</v>
      </c>
      <c r="W31" s="53">
        <v>176</v>
      </c>
      <c r="X31" s="53" t="s">
        <v>91</v>
      </c>
      <c r="Y31" s="54">
        <f>Personal_Empresa!$P$28</f>
        <v>37.5</v>
      </c>
      <c r="Z31" s="54">
        <f>W31*Y31</f>
        <v>6600</v>
      </c>
      <c r="AA31" s="53"/>
      <c r="AB31" s="66"/>
      <c r="AD31" s="82"/>
      <c r="AE31" s="84"/>
      <c r="AF31" s="83" t="s">
        <v>121</v>
      </c>
      <c r="AG31" s="53" t="s">
        <v>242</v>
      </c>
      <c r="AH31" s="53">
        <v>240</v>
      </c>
      <c r="AI31" s="53" t="s">
        <v>91</v>
      </c>
      <c r="AJ31" s="54">
        <f>Y52</f>
        <v>37.5</v>
      </c>
      <c r="AK31" s="54">
        <f>AH31*AJ31</f>
        <v>9000</v>
      </c>
      <c r="AL31" s="53"/>
      <c r="AM31" s="66"/>
    </row>
    <row r="32" spans="2:39" x14ac:dyDescent="0.25">
      <c r="B32" s="82"/>
      <c r="C32" s="84"/>
      <c r="D32" s="83" t="s">
        <v>85</v>
      </c>
      <c r="E32" s="53" t="s">
        <v>156</v>
      </c>
      <c r="F32" s="66" t="s">
        <v>89</v>
      </c>
      <c r="H32" s="82"/>
      <c r="I32" s="83" t="s">
        <v>92</v>
      </c>
      <c r="J32" s="84"/>
      <c r="K32" s="53" t="s">
        <v>175</v>
      </c>
      <c r="L32" s="53"/>
      <c r="M32" s="53"/>
      <c r="N32" s="53"/>
      <c r="O32" s="53"/>
      <c r="P32" s="54">
        <f>O33</f>
        <v>1890</v>
      </c>
      <c r="Q32" s="66"/>
      <c r="S32" s="85" t="s">
        <v>97</v>
      </c>
      <c r="T32" s="83"/>
      <c r="U32" s="84"/>
      <c r="V32" s="64" t="s">
        <v>164</v>
      </c>
      <c r="W32" s="53"/>
      <c r="X32" s="53"/>
      <c r="Y32" s="53"/>
      <c r="Z32" s="53"/>
      <c r="AA32" s="53"/>
      <c r="AB32" s="93">
        <f>AA33</f>
        <v>8100</v>
      </c>
      <c r="AD32" s="82"/>
      <c r="AE32" s="84"/>
      <c r="AF32" s="83" t="s">
        <v>123</v>
      </c>
      <c r="AG32" s="53" t="s">
        <v>179</v>
      </c>
      <c r="AH32" s="53">
        <v>80</v>
      </c>
      <c r="AI32" s="53" t="s">
        <v>91</v>
      </c>
      <c r="AJ32" s="54">
        <f>Personal_Empresa!$P$30</f>
        <v>33.75</v>
      </c>
      <c r="AK32" s="54">
        <f t="shared" ref="AK32:AK33" si="1">AH32*AJ32</f>
        <v>2700</v>
      </c>
      <c r="AL32" s="53"/>
      <c r="AM32" s="66"/>
    </row>
    <row r="33" spans="2:39" ht="15.75" thickBot="1" x14ac:dyDescent="0.3">
      <c r="B33" s="82"/>
      <c r="C33" s="84"/>
      <c r="D33" s="83" t="s">
        <v>94</v>
      </c>
      <c r="E33" s="53" t="s">
        <v>195</v>
      </c>
      <c r="F33" s="66" t="s">
        <v>160</v>
      </c>
      <c r="H33" s="86"/>
      <c r="I33" s="88"/>
      <c r="J33" s="87" t="s">
        <v>85</v>
      </c>
      <c r="K33" s="70" t="s">
        <v>177</v>
      </c>
      <c r="L33" s="70">
        <v>56</v>
      </c>
      <c r="M33" s="70" t="s">
        <v>91</v>
      </c>
      <c r="N33" s="92">
        <f>Personal_Empresa!$P$29</f>
        <v>33.75</v>
      </c>
      <c r="O33" s="92">
        <f>L33*N33</f>
        <v>1890</v>
      </c>
      <c r="P33" s="70"/>
      <c r="Q33" s="71"/>
      <c r="S33" s="82"/>
      <c r="T33" s="83" t="s">
        <v>92</v>
      </c>
      <c r="U33" s="84"/>
      <c r="V33" s="53" t="s">
        <v>175</v>
      </c>
      <c r="W33" s="53"/>
      <c r="X33" s="53"/>
      <c r="Y33" s="53"/>
      <c r="Z33" s="53"/>
      <c r="AA33" s="54">
        <f>Z34+Z35</f>
        <v>8100</v>
      </c>
      <c r="AB33" s="66"/>
      <c r="AD33" s="82"/>
      <c r="AE33" s="84"/>
      <c r="AF33" s="83" t="s">
        <v>126</v>
      </c>
      <c r="AG33" s="53" t="s">
        <v>196</v>
      </c>
      <c r="AH33" s="53">
        <v>80</v>
      </c>
      <c r="AI33" s="53" t="s">
        <v>91</v>
      </c>
      <c r="AJ33" s="106">
        <f>Personal_Empresa!$P$29</f>
        <v>33.75</v>
      </c>
      <c r="AK33" s="54">
        <f t="shared" si="1"/>
        <v>2700</v>
      </c>
      <c r="AL33" s="53"/>
      <c r="AM33" s="66"/>
    </row>
    <row r="34" spans="2:39" ht="15.75" thickBot="1" x14ac:dyDescent="0.3">
      <c r="B34" s="82"/>
      <c r="C34" s="84"/>
      <c r="D34" s="62" t="s">
        <v>97</v>
      </c>
      <c r="E34" s="90" t="s">
        <v>163</v>
      </c>
      <c r="F34" s="91" t="s">
        <v>164</v>
      </c>
      <c r="S34" s="82"/>
      <c r="T34" s="84"/>
      <c r="U34" s="83" t="s">
        <v>94</v>
      </c>
      <c r="V34" s="53" t="s">
        <v>177</v>
      </c>
      <c r="W34" s="53">
        <v>120</v>
      </c>
      <c r="X34" s="53" t="s">
        <v>91</v>
      </c>
      <c r="Y34" s="54">
        <f>Personal_Empresa!$P$29</f>
        <v>33.75</v>
      </c>
      <c r="Z34" s="54">
        <f>W34*Y34</f>
        <v>4050</v>
      </c>
      <c r="AA34" s="53"/>
      <c r="AB34" s="66"/>
      <c r="AD34" s="82"/>
      <c r="AE34" s="83" t="s">
        <v>180</v>
      </c>
      <c r="AF34" s="84"/>
      <c r="AG34" s="53" t="s">
        <v>181</v>
      </c>
      <c r="AH34" s="53"/>
      <c r="AI34" s="53"/>
      <c r="AJ34" s="53"/>
      <c r="AK34" s="53"/>
      <c r="AL34" s="54">
        <f>AK35+AK36+AK37+AK38+AK39+AK40+AK41</f>
        <v>15120</v>
      </c>
      <c r="AM34" s="66"/>
    </row>
    <row r="35" spans="2:39" ht="16.5" thickBot="1" x14ac:dyDescent="0.3">
      <c r="B35" s="85" t="s">
        <v>97</v>
      </c>
      <c r="C35" s="84"/>
      <c r="D35" s="84"/>
      <c r="E35" s="64" t="s">
        <v>197</v>
      </c>
      <c r="F35" s="66"/>
      <c r="H35" s="227" t="s">
        <v>83</v>
      </c>
      <c r="I35" s="228"/>
      <c r="J35" s="228"/>
      <c r="K35" s="228"/>
      <c r="L35" s="228"/>
      <c r="M35" s="228"/>
      <c r="N35" s="228"/>
      <c r="O35" s="228"/>
      <c r="P35" s="229"/>
      <c r="Q35" s="95">
        <f>Q23+Q28+Q31</f>
        <v>14580</v>
      </c>
      <c r="S35" s="86"/>
      <c r="T35" s="88"/>
      <c r="U35" s="87" t="s">
        <v>97</v>
      </c>
      <c r="V35" s="70" t="s">
        <v>179</v>
      </c>
      <c r="W35" s="70">
        <v>120</v>
      </c>
      <c r="X35" s="70" t="s">
        <v>91</v>
      </c>
      <c r="Y35" s="92">
        <f>Personal_Empresa!$P$30</f>
        <v>33.75</v>
      </c>
      <c r="Z35" s="92">
        <f>W35*Y35</f>
        <v>4050</v>
      </c>
      <c r="AA35" s="70"/>
      <c r="AB35" s="71"/>
      <c r="AD35" s="82"/>
      <c r="AE35" s="84"/>
      <c r="AF35" s="83" t="s">
        <v>85</v>
      </c>
      <c r="AG35" s="53" t="s">
        <v>154</v>
      </c>
      <c r="AH35" s="53">
        <v>32</v>
      </c>
      <c r="AI35" s="53" t="s">
        <v>91</v>
      </c>
      <c r="AJ35" s="54">
        <f>Personal_Empresa!$P$24</f>
        <v>30</v>
      </c>
      <c r="AK35" s="54">
        <f>AH35*AJ35</f>
        <v>960</v>
      </c>
      <c r="AL35" s="53"/>
      <c r="AM35" s="66"/>
    </row>
    <row r="36" spans="2:39" ht="15.75" thickBot="1" x14ac:dyDescent="0.3">
      <c r="B36" s="86"/>
      <c r="C36" s="87" t="s">
        <v>92</v>
      </c>
      <c r="D36" s="88"/>
      <c r="E36" s="70" t="s">
        <v>198</v>
      </c>
      <c r="F36" s="71" t="s">
        <v>199</v>
      </c>
      <c r="J36" s="62"/>
      <c r="N36" s="89"/>
      <c r="O36" s="89"/>
      <c r="U36" s="62"/>
      <c r="Y36" s="89"/>
      <c r="Z36" s="89"/>
      <c r="AD36" s="82"/>
      <c r="AE36" s="84"/>
      <c r="AF36" s="83" t="s">
        <v>94</v>
      </c>
      <c r="AG36" s="53" t="s">
        <v>157</v>
      </c>
      <c r="AH36" s="53">
        <v>32</v>
      </c>
      <c r="AI36" s="53" t="s">
        <v>91</v>
      </c>
      <c r="AJ36" s="54">
        <f>Personal_Empresa!$P$23</f>
        <v>30</v>
      </c>
      <c r="AK36" s="54">
        <f>AH36*AJ36</f>
        <v>960</v>
      </c>
      <c r="AL36" s="53"/>
      <c r="AM36" s="66"/>
    </row>
    <row r="37" spans="2:39" ht="16.5" thickBot="1" x14ac:dyDescent="0.3">
      <c r="H37" s="230" t="s">
        <v>240</v>
      </c>
      <c r="I37" s="231"/>
      <c r="J37" s="231"/>
      <c r="K37" s="231"/>
      <c r="L37" s="231"/>
      <c r="M37" s="231"/>
      <c r="N37" s="231"/>
      <c r="O37" s="231"/>
      <c r="P37" s="231"/>
      <c r="Q37" s="232"/>
      <c r="S37" s="227" t="s">
        <v>83</v>
      </c>
      <c r="T37" s="228"/>
      <c r="U37" s="228"/>
      <c r="V37" s="228"/>
      <c r="W37" s="228"/>
      <c r="X37" s="228"/>
      <c r="Y37" s="228"/>
      <c r="Z37" s="228"/>
      <c r="AA37" s="229"/>
      <c r="AB37" s="95">
        <f>AB21+AB26+AB32</f>
        <v>40920</v>
      </c>
      <c r="AD37" s="82"/>
      <c r="AE37" s="84"/>
      <c r="AF37" s="83" t="s">
        <v>97</v>
      </c>
      <c r="AG37" s="53" t="s">
        <v>161</v>
      </c>
      <c r="AH37" s="53">
        <v>32</v>
      </c>
      <c r="AI37" s="53" t="s">
        <v>91</v>
      </c>
      <c r="AJ37" s="54">
        <f>Personal_Empresa!$P$32</f>
        <v>41.25</v>
      </c>
      <c r="AK37" s="54">
        <f>AH37*AJ37</f>
        <v>1320</v>
      </c>
      <c r="AL37" s="53"/>
      <c r="AM37" s="66"/>
    </row>
    <row r="38" spans="2:39" ht="16.5" thickBot="1" x14ac:dyDescent="0.3">
      <c r="H38" s="96" t="s">
        <v>77</v>
      </c>
      <c r="I38" s="97" t="s">
        <v>78</v>
      </c>
      <c r="J38" s="97" t="s">
        <v>87</v>
      </c>
      <c r="K38" s="98" t="s">
        <v>79</v>
      </c>
      <c r="L38" s="98" t="s">
        <v>80</v>
      </c>
      <c r="M38" s="98" t="s">
        <v>81</v>
      </c>
      <c r="N38" s="98" t="s">
        <v>40</v>
      </c>
      <c r="O38" s="98" t="s">
        <v>88</v>
      </c>
      <c r="P38" s="98" t="s">
        <v>82</v>
      </c>
      <c r="Q38" s="99" t="s">
        <v>83</v>
      </c>
      <c r="AD38" s="82"/>
      <c r="AE38" s="84"/>
      <c r="AF38" s="83" t="s">
        <v>100</v>
      </c>
      <c r="AG38" s="53" t="s">
        <v>170</v>
      </c>
      <c r="AH38" s="53">
        <v>128</v>
      </c>
      <c r="AI38" s="53" t="s">
        <v>91</v>
      </c>
      <c r="AJ38" s="54">
        <f>Personal_Empresa!$P$27</f>
        <v>37.5</v>
      </c>
      <c r="AK38" s="54">
        <f>AH38*AJ38</f>
        <v>4800</v>
      </c>
      <c r="AL38" s="53"/>
      <c r="AM38" s="66"/>
    </row>
    <row r="39" spans="2:39" ht="16.5" thickBot="1" x14ac:dyDescent="0.3">
      <c r="H39" s="113" t="s">
        <v>85</v>
      </c>
      <c r="I39" s="114"/>
      <c r="J39" s="114"/>
      <c r="K39" s="101" t="s">
        <v>149</v>
      </c>
      <c r="L39" s="100"/>
      <c r="M39" s="100"/>
      <c r="N39" s="100"/>
      <c r="O39" s="100"/>
      <c r="P39" s="100"/>
      <c r="Q39" s="102">
        <f>P40</f>
        <v>12150</v>
      </c>
      <c r="S39" s="230" t="s">
        <v>200</v>
      </c>
      <c r="T39" s="231"/>
      <c r="U39" s="231"/>
      <c r="V39" s="231"/>
      <c r="W39" s="231"/>
      <c r="X39" s="231"/>
      <c r="Y39" s="231"/>
      <c r="Z39" s="231"/>
      <c r="AA39" s="231"/>
      <c r="AB39" s="232"/>
      <c r="AD39" s="82"/>
      <c r="AE39" s="84"/>
      <c r="AF39" s="83" t="s">
        <v>121</v>
      </c>
      <c r="AG39" s="53" t="s">
        <v>173</v>
      </c>
      <c r="AH39" s="53">
        <v>128</v>
      </c>
      <c r="AI39" s="53" t="s">
        <v>91</v>
      </c>
      <c r="AJ39" s="54">
        <f>Personal_Empresa!$P$26</f>
        <v>18.75</v>
      </c>
      <c r="AK39" s="54">
        <f>AH39*AJ39</f>
        <v>2400</v>
      </c>
      <c r="AL39" s="53"/>
      <c r="AM39" s="66"/>
    </row>
    <row r="40" spans="2:39" ht="16.5" thickBot="1" x14ac:dyDescent="0.3">
      <c r="H40" s="82"/>
      <c r="I40" s="83" t="s">
        <v>92</v>
      </c>
      <c r="J40" s="84"/>
      <c r="K40" s="53" t="s">
        <v>151</v>
      </c>
      <c r="L40" s="53"/>
      <c r="M40" s="53"/>
      <c r="N40" s="53"/>
      <c r="O40" s="53"/>
      <c r="P40" s="54">
        <f>O41+O42+O43</f>
        <v>12150</v>
      </c>
      <c r="Q40" s="66"/>
      <c r="S40" s="78" t="s">
        <v>77</v>
      </c>
      <c r="T40" s="79" t="s">
        <v>78</v>
      </c>
      <c r="U40" s="79" t="s">
        <v>87</v>
      </c>
      <c r="V40" s="76" t="s">
        <v>79</v>
      </c>
      <c r="W40" s="76" t="s">
        <v>80</v>
      </c>
      <c r="X40" s="76" t="s">
        <v>81</v>
      </c>
      <c r="Y40" s="76" t="s">
        <v>40</v>
      </c>
      <c r="Z40" s="76" t="s">
        <v>88</v>
      </c>
      <c r="AA40" s="76" t="s">
        <v>82</v>
      </c>
      <c r="AB40" s="77" t="s">
        <v>83</v>
      </c>
      <c r="AD40" s="82"/>
      <c r="AE40" s="84"/>
      <c r="AF40" s="83" t="s">
        <v>123</v>
      </c>
      <c r="AG40" s="53" t="s">
        <v>174</v>
      </c>
      <c r="AH40" s="53">
        <v>96</v>
      </c>
      <c r="AI40" s="53" t="s">
        <v>91</v>
      </c>
      <c r="AJ40" s="105">
        <f>Personal_Empresa!$P$25</f>
        <v>37.5</v>
      </c>
      <c r="AK40" s="54">
        <f t="shared" ref="AK40" si="2">AH40*AJ40</f>
        <v>3600</v>
      </c>
      <c r="AL40" s="53"/>
      <c r="AM40" s="66"/>
    </row>
    <row r="41" spans="2:39" x14ac:dyDescent="0.25">
      <c r="H41" s="82"/>
      <c r="I41" s="84"/>
      <c r="J41" s="83" t="s">
        <v>85</v>
      </c>
      <c r="K41" s="53" t="s">
        <v>154</v>
      </c>
      <c r="L41" s="53">
        <v>120</v>
      </c>
      <c r="M41" s="53" t="s">
        <v>91</v>
      </c>
      <c r="N41" s="54">
        <f>Personal_Empresa!$P$24</f>
        <v>30</v>
      </c>
      <c r="O41" s="54">
        <f>L41*N41</f>
        <v>3600</v>
      </c>
      <c r="P41" s="53"/>
      <c r="Q41" s="66"/>
      <c r="S41" s="80" t="s">
        <v>85</v>
      </c>
      <c r="T41" s="81"/>
      <c r="U41" s="81"/>
      <c r="V41" s="74" t="s">
        <v>149</v>
      </c>
      <c r="W41" s="73"/>
      <c r="X41" s="73"/>
      <c r="Y41" s="73"/>
      <c r="Z41" s="73"/>
      <c r="AA41" s="73"/>
      <c r="AB41" s="94">
        <f>AA42</f>
        <v>5670</v>
      </c>
      <c r="AD41" s="82"/>
      <c r="AE41" s="84"/>
      <c r="AF41" s="83" t="s">
        <v>126</v>
      </c>
      <c r="AG41" s="53" t="s">
        <v>179</v>
      </c>
      <c r="AH41" s="53">
        <v>32</v>
      </c>
      <c r="AI41" s="53" t="s">
        <v>91</v>
      </c>
      <c r="AJ41" s="54">
        <f>Personal_Empresa!$P$30</f>
        <v>33.75</v>
      </c>
      <c r="AK41" s="54">
        <f>AH41*AJ41</f>
        <v>1080</v>
      </c>
      <c r="AL41" s="53"/>
      <c r="AM41" s="66"/>
    </row>
    <row r="42" spans="2:39" x14ac:dyDescent="0.25">
      <c r="H42" s="82"/>
      <c r="I42" s="84"/>
      <c r="J42" s="83" t="s">
        <v>94</v>
      </c>
      <c r="K42" s="53" t="s">
        <v>157</v>
      </c>
      <c r="L42" s="53">
        <v>120</v>
      </c>
      <c r="M42" s="53" t="s">
        <v>91</v>
      </c>
      <c r="N42" s="54">
        <f>Personal_Empresa!$P$23</f>
        <v>30</v>
      </c>
      <c r="O42" s="54">
        <f>L42*N42</f>
        <v>3600</v>
      </c>
      <c r="P42" s="53"/>
      <c r="Q42" s="66"/>
      <c r="S42" s="82"/>
      <c r="T42" s="83" t="s">
        <v>92</v>
      </c>
      <c r="U42" s="84"/>
      <c r="V42" s="53" t="s">
        <v>151</v>
      </c>
      <c r="W42" s="53"/>
      <c r="X42" s="53"/>
      <c r="Y42" s="53"/>
      <c r="Z42" s="53"/>
      <c r="AA42" s="54">
        <f>Z43+Z44+Z45</f>
        <v>5670</v>
      </c>
      <c r="AB42" s="66"/>
      <c r="AD42" s="82"/>
      <c r="AE42" s="83" t="s">
        <v>185</v>
      </c>
      <c r="AF42" s="84"/>
      <c r="AG42" s="53" t="s">
        <v>169</v>
      </c>
      <c r="AH42" s="53"/>
      <c r="AI42" s="53"/>
      <c r="AJ42" s="53"/>
      <c r="AK42" s="53"/>
      <c r="AL42" s="54">
        <f>AK43+AK44+AK45+AK46+AK47</f>
        <v>6180</v>
      </c>
      <c r="AM42" s="66"/>
    </row>
    <row r="43" spans="2:39" x14ac:dyDescent="0.25">
      <c r="H43" s="82"/>
      <c r="I43" s="84"/>
      <c r="J43" s="83" t="s">
        <v>97</v>
      </c>
      <c r="K43" s="53" t="s">
        <v>161</v>
      </c>
      <c r="L43" s="53">
        <v>120</v>
      </c>
      <c r="M43" s="53" t="s">
        <v>91</v>
      </c>
      <c r="N43" s="54">
        <f>Personal_Empresa!$P$32</f>
        <v>41.25</v>
      </c>
      <c r="O43" s="54">
        <f>L43*N43</f>
        <v>4950</v>
      </c>
      <c r="P43" s="53"/>
      <c r="Q43" s="66"/>
      <c r="S43" s="82"/>
      <c r="T43" s="84"/>
      <c r="U43" s="83" t="s">
        <v>85</v>
      </c>
      <c r="V43" s="53" t="s">
        <v>154</v>
      </c>
      <c r="W43" s="53">
        <v>56</v>
      </c>
      <c r="X43" s="53" t="s">
        <v>91</v>
      </c>
      <c r="Y43" s="54">
        <f>Personal_Empresa!$P$24</f>
        <v>30</v>
      </c>
      <c r="Z43" s="54">
        <f>W43*Y43</f>
        <v>1680</v>
      </c>
      <c r="AA43" s="53"/>
      <c r="AB43" s="66"/>
      <c r="AD43" s="82"/>
      <c r="AE43" s="84"/>
      <c r="AF43" s="83" t="s">
        <v>85</v>
      </c>
      <c r="AG43" s="53" t="s">
        <v>154</v>
      </c>
      <c r="AH43" s="53">
        <v>32</v>
      </c>
      <c r="AI43" s="53" t="s">
        <v>91</v>
      </c>
      <c r="AJ43" s="54">
        <f>Personal_Empresa!$P$24</f>
        <v>30</v>
      </c>
      <c r="AK43" s="54">
        <f>AH43*AJ43</f>
        <v>960</v>
      </c>
      <c r="AL43" s="53"/>
      <c r="AM43" s="66"/>
    </row>
    <row r="44" spans="2:39" x14ac:dyDescent="0.25">
      <c r="H44" s="85" t="s">
        <v>94</v>
      </c>
      <c r="I44" s="83"/>
      <c r="J44" s="84"/>
      <c r="K44" s="64" t="s">
        <v>239</v>
      </c>
      <c r="L44" s="53"/>
      <c r="M44" s="53"/>
      <c r="N44" s="53"/>
      <c r="O44" s="53"/>
      <c r="P44" s="53"/>
      <c r="Q44" s="93">
        <f>P45</f>
        <v>14000</v>
      </c>
      <c r="S44" s="82"/>
      <c r="T44" s="84"/>
      <c r="U44" s="83" t="s">
        <v>94</v>
      </c>
      <c r="V44" s="53" t="s">
        <v>157</v>
      </c>
      <c r="W44" s="53">
        <v>56</v>
      </c>
      <c r="X44" s="53" t="s">
        <v>91</v>
      </c>
      <c r="Y44" s="54">
        <f>Personal_Empresa!$P$23</f>
        <v>30</v>
      </c>
      <c r="Z44" s="54">
        <f>W44*Y44</f>
        <v>1680</v>
      </c>
      <c r="AA44" s="53"/>
      <c r="AB44" s="66"/>
      <c r="AD44" s="82"/>
      <c r="AE44" s="84"/>
      <c r="AF44" s="83" t="s">
        <v>94</v>
      </c>
      <c r="AG44" s="53" t="s">
        <v>157</v>
      </c>
      <c r="AH44" s="53">
        <v>32</v>
      </c>
      <c r="AI44" s="53" t="s">
        <v>91</v>
      </c>
      <c r="AJ44" s="54">
        <f>Personal_Empresa!$P$23</f>
        <v>30</v>
      </c>
      <c r="AK44" s="54">
        <f>AH44*AJ44</f>
        <v>960</v>
      </c>
      <c r="AL44" s="53"/>
      <c r="AM44" s="66"/>
    </row>
    <row r="45" spans="2:39" x14ac:dyDescent="0.25">
      <c r="H45" s="82"/>
      <c r="I45" s="83" t="s">
        <v>92</v>
      </c>
      <c r="J45" s="84"/>
      <c r="K45" s="53" t="s">
        <v>241</v>
      </c>
      <c r="L45" s="53"/>
      <c r="M45" s="53"/>
      <c r="N45" s="53"/>
      <c r="O45" s="53"/>
      <c r="P45" s="54">
        <f>O46+O47</f>
        <v>14000</v>
      </c>
      <c r="Q45" s="66"/>
      <c r="S45" s="82"/>
      <c r="T45" s="84"/>
      <c r="U45" s="83" t="s">
        <v>97</v>
      </c>
      <c r="V45" s="53" t="s">
        <v>161</v>
      </c>
      <c r="W45" s="53">
        <v>56</v>
      </c>
      <c r="X45" s="53" t="s">
        <v>91</v>
      </c>
      <c r="Y45" s="54">
        <f>Personal_Empresa!$P$32</f>
        <v>41.25</v>
      </c>
      <c r="Z45" s="54">
        <f>W45*Y45</f>
        <v>2310</v>
      </c>
      <c r="AA45" s="53"/>
      <c r="AB45" s="66"/>
      <c r="AD45" s="82"/>
      <c r="AE45" s="84"/>
      <c r="AF45" s="83" t="s">
        <v>97</v>
      </c>
      <c r="AG45" s="53" t="s">
        <v>161</v>
      </c>
      <c r="AH45" s="53">
        <v>32</v>
      </c>
      <c r="AI45" s="53" t="s">
        <v>91</v>
      </c>
      <c r="AJ45" s="54">
        <f>Personal_Empresa!$P$32</f>
        <v>41.25</v>
      </c>
      <c r="AK45" s="54">
        <f>AH45*AJ45</f>
        <v>1320</v>
      </c>
      <c r="AL45" s="53"/>
      <c r="AM45" s="66"/>
    </row>
    <row r="46" spans="2:39" x14ac:dyDescent="0.25">
      <c r="H46" s="82"/>
      <c r="I46" s="84"/>
      <c r="J46" s="83" t="s">
        <v>85</v>
      </c>
      <c r="K46" s="53" t="s">
        <v>171</v>
      </c>
      <c r="L46" s="53">
        <v>160</v>
      </c>
      <c r="M46" s="53" t="s">
        <v>91</v>
      </c>
      <c r="N46" s="54">
        <f>Personal_Empresa!$P$28</f>
        <v>37.5</v>
      </c>
      <c r="O46" s="54">
        <f>L46*N46</f>
        <v>6000</v>
      </c>
      <c r="P46" s="53"/>
      <c r="Q46" s="66"/>
      <c r="S46" s="85" t="s">
        <v>94</v>
      </c>
      <c r="T46" s="83"/>
      <c r="U46" s="84"/>
      <c r="V46" s="64" t="s">
        <v>201</v>
      </c>
      <c r="W46" s="53"/>
      <c r="X46" s="53"/>
      <c r="Y46" s="53"/>
      <c r="Z46" s="53"/>
      <c r="AA46" s="53"/>
      <c r="AB46" s="93">
        <f>AA47</f>
        <v>20250</v>
      </c>
      <c r="AD46" s="82"/>
      <c r="AE46" s="84"/>
      <c r="AF46" s="83" t="s">
        <v>100</v>
      </c>
      <c r="AG46" s="53" t="s">
        <v>171</v>
      </c>
      <c r="AH46" s="53">
        <v>64</v>
      </c>
      <c r="AI46" s="53" t="s">
        <v>91</v>
      </c>
      <c r="AJ46" s="54">
        <f>Personal_Empresa!$P$28</f>
        <v>37.5</v>
      </c>
      <c r="AK46" s="54">
        <f>AH46*AJ46</f>
        <v>2400</v>
      </c>
      <c r="AL46" s="53"/>
      <c r="AM46" s="66"/>
    </row>
    <row r="47" spans="2:39" x14ac:dyDescent="0.25">
      <c r="H47" s="82"/>
      <c r="I47" s="84"/>
      <c r="J47" s="83" t="s">
        <v>94</v>
      </c>
      <c r="K47" s="53" t="s">
        <v>242</v>
      </c>
      <c r="L47" s="53">
        <v>160</v>
      </c>
      <c r="M47" s="53" t="s">
        <v>91</v>
      </c>
      <c r="N47" s="54">
        <v>50</v>
      </c>
      <c r="O47" s="54">
        <f>L47*N47</f>
        <v>8000</v>
      </c>
      <c r="P47" s="53"/>
      <c r="Q47" s="66"/>
      <c r="S47" s="82"/>
      <c r="T47" s="83" t="s">
        <v>92</v>
      </c>
      <c r="U47" s="84"/>
      <c r="V47" s="53" t="s">
        <v>194</v>
      </c>
      <c r="W47" s="53"/>
      <c r="X47" s="53"/>
      <c r="Y47" s="53"/>
      <c r="Z47" s="53"/>
      <c r="AA47" s="54">
        <f>Z48+Z49+Z50+Z51+Z52</f>
        <v>20250</v>
      </c>
      <c r="AB47" s="66"/>
      <c r="AD47" s="82"/>
      <c r="AE47" s="84"/>
      <c r="AF47" s="83" t="s">
        <v>121</v>
      </c>
      <c r="AG47" s="53" t="s">
        <v>196</v>
      </c>
      <c r="AH47" s="53">
        <v>16</v>
      </c>
      <c r="AI47" s="53" t="s">
        <v>91</v>
      </c>
      <c r="AJ47" s="54">
        <f>Personal_Empresa!$P$29</f>
        <v>33.75</v>
      </c>
      <c r="AK47" s="54">
        <f>AH47*AJ47</f>
        <v>540</v>
      </c>
      <c r="AL47" s="53"/>
      <c r="AM47" s="66"/>
    </row>
    <row r="48" spans="2:39" x14ac:dyDescent="0.25">
      <c r="H48" s="85" t="s">
        <v>97</v>
      </c>
      <c r="I48" s="83"/>
      <c r="J48" s="84"/>
      <c r="K48" s="64" t="s">
        <v>164</v>
      </c>
      <c r="L48" s="53"/>
      <c r="M48" s="53"/>
      <c r="N48" s="53"/>
      <c r="O48" s="53"/>
      <c r="P48" s="53"/>
      <c r="Q48" s="93">
        <f>P49</f>
        <v>8400</v>
      </c>
      <c r="S48" s="82"/>
      <c r="T48" s="84"/>
      <c r="U48" s="83" t="s">
        <v>85</v>
      </c>
      <c r="V48" s="53" t="s">
        <v>170</v>
      </c>
      <c r="W48" s="53">
        <v>120</v>
      </c>
      <c r="X48" s="53" t="s">
        <v>91</v>
      </c>
      <c r="Y48" s="54">
        <f>Personal_Empresa!$P$27</f>
        <v>37.5</v>
      </c>
      <c r="Z48" s="54">
        <f>W48*Y48</f>
        <v>4500</v>
      </c>
      <c r="AA48" s="53"/>
      <c r="AB48" s="66"/>
      <c r="AD48" s="82"/>
      <c r="AE48" s="83" t="s">
        <v>189</v>
      </c>
      <c r="AF48" s="84"/>
      <c r="AG48" s="53" t="s">
        <v>190</v>
      </c>
      <c r="AH48" s="53"/>
      <c r="AI48" s="53"/>
      <c r="AJ48" s="53"/>
      <c r="AK48" s="53"/>
      <c r="AL48" s="54">
        <f>AK49+AK50+AK51+AK52+AK53+AK54+AK55+AK56+AK57</f>
        <v>40920</v>
      </c>
      <c r="AM48" s="66"/>
    </row>
    <row r="49" spans="8:39" x14ac:dyDescent="0.25">
      <c r="H49" s="82"/>
      <c r="I49" s="83" t="s">
        <v>92</v>
      </c>
      <c r="J49" s="84"/>
      <c r="K49" s="53" t="s">
        <v>175</v>
      </c>
      <c r="L49" s="53"/>
      <c r="M49" s="53"/>
      <c r="N49" s="53"/>
      <c r="O49" s="53"/>
      <c r="P49" s="54">
        <f>O50+O51+O52</f>
        <v>8400</v>
      </c>
      <c r="Q49" s="66"/>
      <c r="S49" s="82"/>
      <c r="T49" s="84"/>
      <c r="U49" s="83" t="s">
        <v>94</v>
      </c>
      <c r="V49" s="53" t="s">
        <v>173</v>
      </c>
      <c r="W49" s="53">
        <v>120</v>
      </c>
      <c r="X49" s="53" t="s">
        <v>91</v>
      </c>
      <c r="Y49" s="54">
        <f>Personal_Empresa!$P$26</f>
        <v>18.75</v>
      </c>
      <c r="Z49" s="54">
        <f>W49*Y49</f>
        <v>2250</v>
      </c>
      <c r="AA49" s="53"/>
      <c r="AB49" s="66"/>
      <c r="AD49" s="82"/>
      <c r="AE49" s="84"/>
      <c r="AF49" s="83" t="s">
        <v>85</v>
      </c>
      <c r="AG49" s="53" t="s">
        <v>154</v>
      </c>
      <c r="AH49" s="53">
        <v>96</v>
      </c>
      <c r="AI49" s="53" t="s">
        <v>91</v>
      </c>
      <c r="AJ49" s="54">
        <f>Personal_Empresa!$P$24</f>
        <v>30</v>
      </c>
      <c r="AK49" s="54">
        <f>AH49*AJ49</f>
        <v>2880</v>
      </c>
      <c r="AL49" s="53"/>
      <c r="AM49" s="66"/>
    </row>
    <row r="50" spans="8:39" x14ac:dyDescent="0.25">
      <c r="H50" s="82"/>
      <c r="I50" s="84"/>
      <c r="J50" s="83" t="s">
        <v>85</v>
      </c>
      <c r="K50" s="53" t="s">
        <v>242</v>
      </c>
      <c r="L50" s="53">
        <v>80</v>
      </c>
      <c r="M50" s="53" t="s">
        <v>91</v>
      </c>
      <c r="N50" s="54">
        <v>37.5</v>
      </c>
      <c r="O50" s="54">
        <f>L50*N50</f>
        <v>3000</v>
      </c>
      <c r="P50" s="53"/>
      <c r="Q50" s="66"/>
      <c r="S50" s="82"/>
      <c r="T50" s="84"/>
      <c r="U50" s="83" t="s">
        <v>97</v>
      </c>
      <c r="V50" s="53" t="s">
        <v>174</v>
      </c>
      <c r="W50" s="53">
        <v>120</v>
      </c>
      <c r="X50" s="53" t="s">
        <v>91</v>
      </c>
      <c r="Y50" s="54">
        <f>Personal_Empresa!$P$25</f>
        <v>37.5</v>
      </c>
      <c r="Z50" s="54">
        <f>W50*Y50</f>
        <v>4500</v>
      </c>
      <c r="AA50" s="53"/>
      <c r="AB50" s="66"/>
      <c r="AD50" s="82"/>
      <c r="AE50" s="84"/>
      <c r="AF50" s="83" t="s">
        <v>94</v>
      </c>
      <c r="AG50" s="53" t="s">
        <v>157</v>
      </c>
      <c r="AH50" s="53">
        <v>96</v>
      </c>
      <c r="AI50" s="53" t="s">
        <v>91</v>
      </c>
      <c r="AJ50" s="54">
        <f>Personal_Empresa!$P$23</f>
        <v>30</v>
      </c>
      <c r="AK50" s="54">
        <f>AH50*AJ50</f>
        <v>2880</v>
      </c>
      <c r="AL50" s="53"/>
      <c r="AM50" s="66"/>
    </row>
    <row r="51" spans="8:39" x14ac:dyDescent="0.25">
      <c r="H51" s="82"/>
      <c r="I51" s="84"/>
      <c r="J51" s="83" t="s">
        <v>94</v>
      </c>
      <c r="K51" s="53" t="s">
        <v>177</v>
      </c>
      <c r="L51" s="53">
        <v>80</v>
      </c>
      <c r="M51" s="53" t="s">
        <v>91</v>
      </c>
      <c r="N51" s="54">
        <f>Personal_Empresa!$P$29</f>
        <v>33.75</v>
      </c>
      <c r="O51" s="54">
        <f>L51*N51</f>
        <v>2700</v>
      </c>
      <c r="P51" s="53"/>
      <c r="Q51" s="66"/>
      <c r="S51" s="82"/>
      <c r="T51" s="84"/>
      <c r="U51" s="83" t="s">
        <v>94</v>
      </c>
      <c r="V51" s="53" t="s">
        <v>171</v>
      </c>
      <c r="W51" s="53">
        <v>120</v>
      </c>
      <c r="X51" s="53" t="s">
        <v>91</v>
      </c>
      <c r="Y51" s="54">
        <f>Personal_Empresa!$P$28</f>
        <v>37.5</v>
      </c>
      <c r="Z51" s="54">
        <f>W51*Y51</f>
        <v>4500</v>
      </c>
      <c r="AA51" s="53"/>
      <c r="AB51" s="66"/>
      <c r="AD51" s="82"/>
      <c r="AE51" s="84"/>
      <c r="AF51" s="83" t="s">
        <v>97</v>
      </c>
      <c r="AG51" s="53" t="s">
        <v>161</v>
      </c>
      <c r="AH51" s="53">
        <v>96</v>
      </c>
      <c r="AI51" s="53" t="s">
        <v>91</v>
      </c>
      <c r="AJ51" s="54">
        <f>Personal_Empresa!$P$32</f>
        <v>41.25</v>
      </c>
      <c r="AK51" s="54">
        <f>AH51*AJ51</f>
        <v>3960</v>
      </c>
      <c r="AL51" s="53"/>
      <c r="AM51" s="66"/>
    </row>
    <row r="52" spans="8:39" ht="15.75" thickBot="1" x14ac:dyDescent="0.3">
      <c r="H52" s="86"/>
      <c r="I52" s="88"/>
      <c r="J52" s="87" t="s">
        <v>97</v>
      </c>
      <c r="K52" s="70" t="s">
        <v>179</v>
      </c>
      <c r="L52" s="70">
        <v>80</v>
      </c>
      <c r="M52" s="70" t="s">
        <v>91</v>
      </c>
      <c r="N52" s="92">
        <f>Personal_Empresa!$P$30</f>
        <v>33.75</v>
      </c>
      <c r="O52" s="92">
        <f>L52*N52</f>
        <v>2700</v>
      </c>
      <c r="P52" s="70"/>
      <c r="Q52" s="71"/>
      <c r="S52" s="82"/>
      <c r="T52" s="84"/>
      <c r="U52" s="83" t="s">
        <v>97</v>
      </c>
      <c r="V52" s="53" t="s">
        <v>242</v>
      </c>
      <c r="W52" s="53">
        <v>120</v>
      </c>
      <c r="X52" s="53" t="s">
        <v>91</v>
      </c>
      <c r="Y52" s="54">
        <f>N50</f>
        <v>37.5</v>
      </c>
      <c r="Z52" s="54">
        <f>W52*Y52</f>
        <v>4500</v>
      </c>
      <c r="AA52" s="53"/>
      <c r="AB52" s="66"/>
      <c r="AD52" s="82"/>
      <c r="AE52" s="84"/>
      <c r="AF52" s="83" t="s">
        <v>100</v>
      </c>
      <c r="AG52" s="53" t="s">
        <v>170</v>
      </c>
      <c r="AH52" s="53">
        <v>176</v>
      </c>
      <c r="AI52" s="53" t="s">
        <v>91</v>
      </c>
      <c r="AJ52" s="54">
        <f>Personal_Empresa!$P$27</f>
        <v>37.5</v>
      </c>
      <c r="AK52" s="54">
        <f>AH52*AJ52</f>
        <v>6600</v>
      </c>
      <c r="AL52" s="53"/>
      <c r="AM52" s="66"/>
    </row>
    <row r="53" spans="8:39" ht="15.75" thickBot="1" x14ac:dyDescent="0.3">
      <c r="J53" s="62"/>
      <c r="N53" s="89"/>
      <c r="O53" s="89"/>
      <c r="S53" s="85" t="s">
        <v>97</v>
      </c>
      <c r="T53" s="83"/>
      <c r="U53" s="84"/>
      <c r="V53" s="64" t="s">
        <v>164</v>
      </c>
      <c r="W53" s="53"/>
      <c r="X53" s="53"/>
      <c r="Y53" s="53"/>
      <c r="Z53" s="53"/>
      <c r="AA53" s="53"/>
      <c r="AB53" s="93">
        <f>AA54</f>
        <v>4200</v>
      </c>
      <c r="AD53" s="82"/>
      <c r="AE53" s="84"/>
      <c r="AF53" s="83" t="s">
        <v>121</v>
      </c>
      <c r="AG53" s="53" t="s">
        <v>173</v>
      </c>
      <c r="AH53" s="53">
        <v>176</v>
      </c>
      <c r="AI53" s="53" t="s">
        <v>91</v>
      </c>
      <c r="AJ53" s="54">
        <f>Personal_Empresa!$P$26</f>
        <v>18.75</v>
      </c>
      <c r="AK53" s="54">
        <f>AH53*AJ53</f>
        <v>3300</v>
      </c>
      <c r="AL53" s="53"/>
      <c r="AM53" s="66"/>
    </row>
    <row r="54" spans="8:39" ht="16.5" thickBot="1" x14ac:dyDescent="0.3">
      <c r="H54" s="227" t="s">
        <v>83</v>
      </c>
      <c r="I54" s="228"/>
      <c r="J54" s="228"/>
      <c r="K54" s="228"/>
      <c r="L54" s="228"/>
      <c r="M54" s="228"/>
      <c r="N54" s="228"/>
      <c r="O54" s="228"/>
      <c r="P54" s="229"/>
      <c r="Q54" s="95">
        <f>Q39+Q44+Q48</f>
        <v>34550</v>
      </c>
      <c r="S54" s="82"/>
      <c r="T54" s="83" t="s">
        <v>92</v>
      </c>
      <c r="U54" s="84"/>
      <c r="V54" s="53" t="s">
        <v>175</v>
      </c>
      <c r="W54" s="53"/>
      <c r="X54" s="53"/>
      <c r="Y54" s="53"/>
      <c r="Z54" s="53"/>
      <c r="AA54" s="54">
        <f>Z55+Z56+Z58+Z57</f>
        <v>4200</v>
      </c>
      <c r="AB54" s="66"/>
      <c r="AD54" s="82"/>
      <c r="AE54" s="84"/>
      <c r="AF54" s="83" t="s">
        <v>123</v>
      </c>
      <c r="AG54" s="53" t="s">
        <v>174</v>
      </c>
      <c r="AH54" s="53">
        <v>176</v>
      </c>
      <c r="AI54" s="53" t="s">
        <v>91</v>
      </c>
      <c r="AJ54" s="54">
        <f>Personal_Empresa!$P$25</f>
        <v>37.5</v>
      </c>
      <c r="AK54" s="54">
        <f t="shared" ref="AK54" si="3">AH54*AJ54</f>
        <v>6600</v>
      </c>
      <c r="AL54" s="53"/>
      <c r="AM54" s="66"/>
    </row>
    <row r="55" spans="8:39" ht="15.75" thickBot="1" x14ac:dyDescent="0.3">
      <c r="S55" s="82"/>
      <c r="T55" s="84"/>
      <c r="U55" s="83" t="s">
        <v>85</v>
      </c>
      <c r="V55" s="53" t="s">
        <v>170</v>
      </c>
      <c r="W55" s="53">
        <v>32</v>
      </c>
      <c r="X55" s="53" t="s">
        <v>91</v>
      </c>
      <c r="Y55" s="54">
        <f>Personal_Empresa!$P$27</f>
        <v>37.5</v>
      </c>
      <c r="Z55" s="54">
        <f>W55*Y55</f>
        <v>1200</v>
      </c>
      <c r="AA55" s="53"/>
      <c r="AB55" s="66"/>
      <c r="AD55" s="82"/>
      <c r="AE55" s="84"/>
      <c r="AF55" s="83" t="s">
        <v>126</v>
      </c>
      <c r="AG55" s="53" t="s">
        <v>171</v>
      </c>
      <c r="AH55" s="53">
        <v>176</v>
      </c>
      <c r="AI55" s="53" t="s">
        <v>91</v>
      </c>
      <c r="AJ55" s="54">
        <f>Personal_Empresa!$P$28</f>
        <v>37.5</v>
      </c>
      <c r="AK55" s="54">
        <f>AH55*AJ55</f>
        <v>6600</v>
      </c>
      <c r="AL55" s="53"/>
      <c r="AM55" s="66"/>
    </row>
    <row r="56" spans="8:39" ht="16.5" thickBot="1" x14ac:dyDescent="0.3">
      <c r="H56" s="230" t="s">
        <v>202</v>
      </c>
      <c r="I56" s="231"/>
      <c r="J56" s="231"/>
      <c r="K56" s="231"/>
      <c r="L56" s="231"/>
      <c r="M56" s="231"/>
      <c r="N56" s="231"/>
      <c r="O56" s="231"/>
      <c r="P56" s="231"/>
      <c r="Q56" s="232"/>
      <c r="S56" s="82"/>
      <c r="T56" s="84"/>
      <c r="U56" s="83" t="s">
        <v>94</v>
      </c>
      <c r="V56" s="53" t="s">
        <v>173</v>
      </c>
      <c r="W56" s="53">
        <v>32</v>
      </c>
      <c r="X56" s="53" t="s">
        <v>91</v>
      </c>
      <c r="Y56" s="54">
        <f>Personal_Empresa!$P$26</f>
        <v>18.75</v>
      </c>
      <c r="Z56" s="54">
        <f>W56*Y56</f>
        <v>600</v>
      </c>
      <c r="AA56" s="53"/>
      <c r="AB56" s="66"/>
      <c r="AD56" s="82"/>
      <c r="AE56" s="84"/>
      <c r="AF56" s="83" t="s">
        <v>128</v>
      </c>
      <c r="AG56" s="53" t="s">
        <v>196</v>
      </c>
      <c r="AH56" s="53">
        <v>120</v>
      </c>
      <c r="AI56" s="53" t="s">
        <v>91</v>
      </c>
      <c r="AJ56" s="54">
        <f>Personal_Empresa!$P$30</f>
        <v>33.75</v>
      </c>
      <c r="AK56" s="54">
        <f t="shared" ref="AK56:AK57" si="4">AH56*AJ56</f>
        <v>4050</v>
      </c>
      <c r="AL56" s="53"/>
      <c r="AM56" s="66"/>
    </row>
    <row r="57" spans="8:39" ht="16.5" thickBot="1" x14ac:dyDescent="0.3">
      <c r="H57" s="78" t="s">
        <v>77</v>
      </c>
      <c r="I57" s="79" t="s">
        <v>78</v>
      </c>
      <c r="J57" s="79" t="s">
        <v>87</v>
      </c>
      <c r="K57" s="76" t="s">
        <v>79</v>
      </c>
      <c r="L57" s="76" t="s">
        <v>80</v>
      </c>
      <c r="M57" s="76" t="s">
        <v>81</v>
      </c>
      <c r="N57" s="76" t="s">
        <v>40</v>
      </c>
      <c r="O57" s="76" t="s">
        <v>88</v>
      </c>
      <c r="P57" s="76" t="s">
        <v>82</v>
      </c>
      <c r="Q57" s="77" t="s">
        <v>83</v>
      </c>
      <c r="S57" s="82"/>
      <c r="T57" s="84"/>
      <c r="U57" s="83" t="s">
        <v>97</v>
      </c>
      <c r="V57" s="53" t="s">
        <v>174</v>
      </c>
      <c r="W57" s="53">
        <v>32</v>
      </c>
      <c r="X57" s="53" t="s">
        <v>91</v>
      </c>
      <c r="Y57" s="54">
        <f>Personal_Empresa!$P$25</f>
        <v>37.5</v>
      </c>
      <c r="Z57" s="54">
        <f>W57*Y57</f>
        <v>1200</v>
      </c>
      <c r="AA57" s="53"/>
      <c r="AB57" s="66"/>
      <c r="AD57" s="82"/>
      <c r="AE57" s="84"/>
      <c r="AF57" s="83" t="s">
        <v>129</v>
      </c>
      <c r="AG57" s="53" t="s">
        <v>179</v>
      </c>
      <c r="AH57" s="53">
        <v>120</v>
      </c>
      <c r="AI57" s="53" t="s">
        <v>91</v>
      </c>
      <c r="AJ57" s="54">
        <f>Personal_Empresa!$P$30</f>
        <v>33.75</v>
      </c>
      <c r="AK57" s="54">
        <f t="shared" si="4"/>
        <v>4050</v>
      </c>
      <c r="AL57" s="53"/>
      <c r="AM57" s="66"/>
    </row>
    <row r="58" spans="8:39" ht="15.75" thickBot="1" x14ac:dyDescent="0.3">
      <c r="H58" s="80" t="s">
        <v>85</v>
      </c>
      <c r="I58" s="81"/>
      <c r="J58" s="81"/>
      <c r="K58" s="74" t="s">
        <v>149</v>
      </c>
      <c r="L58" s="73"/>
      <c r="M58" s="73"/>
      <c r="N58" s="73"/>
      <c r="O58" s="73"/>
      <c r="P58" s="73"/>
      <c r="Q58" s="94">
        <f>P59</f>
        <v>3240</v>
      </c>
      <c r="S58" s="86"/>
      <c r="T58" s="88"/>
      <c r="U58" s="87" t="s">
        <v>100</v>
      </c>
      <c r="V58" s="70" t="s">
        <v>171</v>
      </c>
      <c r="W58" s="70">
        <v>32</v>
      </c>
      <c r="X58" s="70" t="s">
        <v>91</v>
      </c>
      <c r="Y58" s="92">
        <f>Personal_Empresa!$P$28</f>
        <v>37.5</v>
      </c>
      <c r="Z58" s="92">
        <f>W58*Y58</f>
        <v>1200</v>
      </c>
      <c r="AA58" s="70"/>
      <c r="AB58" s="71"/>
      <c r="AD58" s="82"/>
      <c r="AE58" s="83" t="s">
        <v>193</v>
      </c>
      <c r="AF58" s="84"/>
      <c r="AG58" s="53" t="s">
        <v>194</v>
      </c>
      <c r="AH58" s="53"/>
      <c r="AI58" s="53"/>
      <c r="AJ58" s="53"/>
      <c r="AK58" s="53"/>
      <c r="AL58" s="54">
        <f>AK59+AK60+AK61+AK62+AK63+AK64+AK65+AK66</f>
        <v>30120</v>
      </c>
      <c r="AM58" s="66"/>
    </row>
    <row r="59" spans="8:39" ht="15.75" thickBot="1" x14ac:dyDescent="0.3">
      <c r="H59" s="82"/>
      <c r="I59" s="83" t="s">
        <v>92</v>
      </c>
      <c r="J59" s="84"/>
      <c r="K59" s="53" t="s">
        <v>151</v>
      </c>
      <c r="L59" s="53"/>
      <c r="M59" s="53"/>
      <c r="N59" s="53"/>
      <c r="O59" s="53"/>
      <c r="P59" s="54">
        <f>O60+O61+O62</f>
        <v>3240</v>
      </c>
      <c r="Q59" s="66"/>
      <c r="U59" s="62"/>
      <c r="Y59" s="89"/>
      <c r="Z59" s="89"/>
      <c r="AD59" s="82"/>
      <c r="AE59" s="84"/>
      <c r="AF59" s="83" t="s">
        <v>85</v>
      </c>
      <c r="AG59" s="53" t="s">
        <v>154</v>
      </c>
      <c r="AH59" s="53">
        <v>56</v>
      </c>
      <c r="AI59" s="53" t="s">
        <v>91</v>
      </c>
      <c r="AJ59" s="54">
        <f>Personal_Empresa!$P$24</f>
        <v>30</v>
      </c>
      <c r="AK59" s="54">
        <f>AH59*AJ59</f>
        <v>1680</v>
      </c>
      <c r="AL59" s="53"/>
      <c r="AM59" s="66"/>
    </row>
    <row r="60" spans="8:39" ht="16.5" thickBot="1" x14ac:dyDescent="0.3">
      <c r="H60" s="82"/>
      <c r="I60" s="84"/>
      <c r="J60" s="83" t="s">
        <v>85</v>
      </c>
      <c r="K60" s="53" t="s">
        <v>154</v>
      </c>
      <c r="L60" s="53">
        <v>32</v>
      </c>
      <c r="M60" s="53" t="s">
        <v>91</v>
      </c>
      <c r="N60" s="54">
        <f>Personal_Empresa!$P$24</f>
        <v>30</v>
      </c>
      <c r="O60" s="54">
        <f>L60*N60</f>
        <v>960</v>
      </c>
      <c r="P60" s="53"/>
      <c r="Q60" s="66"/>
      <c r="S60" s="227" t="s">
        <v>83</v>
      </c>
      <c r="T60" s="228"/>
      <c r="U60" s="228"/>
      <c r="V60" s="228"/>
      <c r="W60" s="228"/>
      <c r="X60" s="228"/>
      <c r="Y60" s="228"/>
      <c r="Z60" s="228"/>
      <c r="AA60" s="229"/>
      <c r="AB60" s="95">
        <f>AB41+AB46+AB53</f>
        <v>30120</v>
      </c>
      <c r="AD60" s="82"/>
      <c r="AE60" s="84"/>
      <c r="AF60" s="83" t="s">
        <v>94</v>
      </c>
      <c r="AG60" s="53" t="s">
        <v>157</v>
      </c>
      <c r="AH60" s="53">
        <v>56</v>
      </c>
      <c r="AI60" s="53" t="s">
        <v>91</v>
      </c>
      <c r="AJ60" s="54">
        <f>Personal_Empresa!$P$23</f>
        <v>30</v>
      </c>
      <c r="AK60" s="54">
        <f>AH60*AJ60</f>
        <v>1680</v>
      </c>
      <c r="AL60" s="53"/>
      <c r="AM60" s="66"/>
    </row>
    <row r="61" spans="8:39" x14ac:dyDescent="0.25">
      <c r="H61" s="82"/>
      <c r="I61" s="84"/>
      <c r="J61" s="83" t="s">
        <v>94</v>
      </c>
      <c r="K61" s="53" t="s">
        <v>157</v>
      </c>
      <c r="L61" s="53">
        <v>32</v>
      </c>
      <c r="M61" s="53" t="s">
        <v>91</v>
      </c>
      <c r="N61" s="54">
        <f>Personal_Empresa!$P$23</f>
        <v>30</v>
      </c>
      <c r="O61" s="54">
        <f>L61*N61</f>
        <v>960</v>
      </c>
      <c r="P61" s="53"/>
      <c r="Q61" s="66"/>
      <c r="AD61" s="82"/>
      <c r="AE61" s="84"/>
      <c r="AF61" s="83" t="s">
        <v>97</v>
      </c>
      <c r="AG61" s="53" t="s">
        <v>161</v>
      </c>
      <c r="AH61" s="53">
        <v>56</v>
      </c>
      <c r="AI61" s="53" t="s">
        <v>91</v>
      </c>
      <c r="AJ61" s="54">
        <f>Personal_Empresa!$P$32</f>
        <v>41.25</v>
      </c>
      <c r="AK61" s="54">
        <f>AH61*AJ61</f>
        <v>2310</v>
      </c>
      <c r="AL61" s="53"/>
      <c r="AM61" s="66"/>
    </row>
    <row r="62" spans="8:39" x14ac:dyDescent="0.25">
      <c r="H62" s="82"/>
      <c r="I62" s="84"/>
      <c r="J62" s="83" t="s">
        <v>97</v>
      </c>
      <c r="K62" s="53" t="s">
        <v>161</v>
      </c>
      <c r="L62" s="53">
        <v>32</v>
      </c>
      <c r="M62" s="53" t="s">
        <v>91</v>
      </c>
      <c r="N62" s="54">
        <f>Personal_Empresa!$P$32</f>
        <v>41.25</v>
      </c>
      <c r="O62" s="54">
        <f>L62*N62</f>
        <v>1320</v>
      </c>
      <c r="P62" s="53"/>
      <c r="Q62" s="66"/>
      <c r="AD62" s="82"/>
      <c r="AE62" s="84"/>
      <c r="AF62" s="83" t="s">
        <v>100</v>
      </c>
      <c r="AG62" s="53" t="s">
        <v>170</v>
      </c>
      <c r="AH62" s="53">
        <v>152</v>
      </c>
      <c r="AI62" s="53" t="s">
        <v>91</v>
      </c>
      <c r="AJ62" s="54">
        <f>Personal_Empresa!$P$27</f>
        <v>37.5</v>
      </c>
      <c r="AK62" s="54">
        <f>AH62*AJ62</f>
        <v>5700</v>
      </c>
      <c r="AL62" s="53"/>
      <c r="AM62" s="66"/>
    </row>
    <row r="63" spans="8:39" x14ac:dyDescent="0.25">
      <c r="H63" s="85" t="s">
        <v>94</v>
      </c>
      <c r="I63" s="83"/>
      <c r="J63" s="84"/>
      <c r="K63" s="64" t="s">
        <v>203</v>
      </c>
      <c r="L63" s="53"/>
      <c r="M63" s="53"/>
      <c r="N63" s="53"/>
      <c r="O63" s="53"/>
      <c r="P63" s="53"/>
      <c r="Q63" s="93">
        <f>P64</f>
        <v>9000</v>
      </c>
      <c r="AD63" s="82"/>
      <c r="AE63" s="84"/>
      <c r="AF63" s="83" t="s">
        <v>121</v>
      </c>
      <c r="AG63" s="53" t="s">
        <v>173</v>
      </c>
      <c r="AH63" s="53">
        <v>152</v>
      </c>
      <c r="AI63" s="53" t="s">
        <v>91</v>
      </c>
      <c r="AJ63" s="54">
        <f>Personal_Empresa!$P$26</f>
        <v>18.75</v>
      </c>
      <c r="AK63" s="54">
        <f>AH63*AJ63</f>
        <v>2850</v>
      </c>
      <c r="AL63" s="53"/>
      <c r="AM63" s="66"/>
    </row>
    <row r="64" spans="8:39" x14ac:dyDescent="0.25">
      <c r="H64" s="82"/>
      <c r="I64" s="83" t="s">
        <v>92</v>
      </c>
      <c r="J64" s="84"/>
      <c r="K64" s="53" t="s">
        <v>181</v>
      </c>
      <c r="L64" s="53"/>
      <c r="M64" s="53"/>
      <c r="N64" s="53"/>
      <c r="O64" s="53"/>
      <c r="P64" s="54">
        <f>O65+O66+O67</f>
        <v>9000</v>
      </c>
      <c r="Q64" s="66"/>
      <c r="AD64" s="82"/>
      <c r="AE64" s="84"/>
      <c r="AF64" s="83" t="s">
        <v>123</v>
      </c>
      <c r="AG64" s="53" t="s">
        <v>174</v>
      </c>
      <c r="AH64" s="53">
        <v>152</v>
      </c>
      <c r="AI64" s="53" t="s">
        <v>91</v>
      </c>
      <c r="AJ64" s="54">
        <f>Personal_Empresa!$P$25</f>
        <v>37.5</v>
      </c>
      <c r="AK64" s="54">
        <f t="shared" ref="AK64" si="5">AH64*AJ64</f>
        <v>5700</v>
      </c>
      <c r="AL64" s="53"/>
      <c r="AM64" s="66"/>
    </row>
    <row r="65" spans="8:39" x14ac:dyDescent="0.25">
      <c r="H65" s="82"/>
      <c r="I65" s="84"/>
      <c r="J65" s="83" t="s">
        <v>85</v>
      </c>
      <c r="K65" s="53" t="s">
        <v>170</v>
      </c>
      <c r="L65" s="53">
        <v>96</v>
      </c>
      <c r="M65" s="53" t="s">
        <v>91</v>
      </c>
      <c r="N65" s="54">
        <f>Personal_Empresa!$P$27</f>
        <v>37.5</v>
      </c>
      <c r="O65" s="54">
        <f>L65*N65</f>
        <v>3600</v>
      </c>
      <c r="P65" s="53"/>
      <c r="Q65" s="66"/>
      <c r="AD65" s="82"/>
      <c r="AE65" s="84"/>
      <c r="AF65" s="83" t="s">
        <v>126</v>
      </c>
      <c r="AG65" s="53" t="s">
        <v>171</v>
      </c>
      <c r="AH65" s="53">
        <v>152</v>
      </c>
      <c r="AI65" s="53" t="s">
        <v>91</v>
      </c>
      <c r="AJ65" s="54">
        <f>Personal_Empresa!$P$28</f>
        <v>37.5</v>
      </c>
      <c r="AK65" s="54">
        <f>AH65*AJ65</f>
        <v>5700</v>
      </c>
      <c r="AL65" s="53"/>
      <c r="AM65" s="66"/>
    </row>
    <row r="66" spans="8:39" x14ac:dyDescent="0.25">
      <c r="H66" s="82"/>
      <c r="I66" s="84"/>
      <c r="J66" s="83" t="s">
        <v>94</v>
      </c>
      <c r="K66" s="53" t="s">
        <v>173</v>
      </c>
      <c r="L66" s="53">
        <v>96</v>
      </c>
      <c r="M66" s="53" t="s">
        <v>91</v>
      </c>
      <c r="N66" s="54">
        <f>Personal_Empresa!$P$26</f>
        <v>18.75</v>
      </c>
      <c r="O66" s="54">
        <f>L66*N66</f>
        <v>1800</v>
      </c>
      <c r="P66" s="53"/>
      <c r="Q66" s="66"/>
      <c r="AD66" s="82"/>
      <c r="AE66" s="84"/>
      <c r="AF66" s="83" t="s">
        <v>128</v>
      </c>
      <c r="AG66" s="53" t="s">
        <v>242</v>
      </c>
      <c r="AH66" s="53">
        <v>120</v>
      </c>
      <c r="AI66" s="53" t="s">
        <v>91</v>
      </c>
      <c r="AJ66" s="54">
        <f>Y52</f>
        <v>37.5</v>
      </c>
      <c r="AK66" s="54">
        <f t="shared" ref="AK66" si="6">AH66*AJ66</f>
        <v>4500</v>
      </c>
      <c r="AL66" s="53"/>
      <c r="AM66" s="66"/>
    </row>
    <row r="67" spans="8:39" x14ac:dyDescent="0.25">
      <c r="H67" s="82"/>
      <c r="I67" s="84"/>
      <c r="J67" s="83" t="s">
        <v>97</v>
      </c>
      <c r="K67" s="53" t="s">
        <v>174</v>
      </c>
      <c r="L67" s="53">
        <v>96</v>
      </c>
      <c r="M67" s="53" t="s">
        <v>91</v>
      </c>
      <c r="N67" s="54">
        <f>Personal_Empresa!$P$25</f>
        <v>37.5</v>
      </c>
      <c r="O67" s="54">
        <f>L67*N67</f>
        <v>3600</v>
      </c>
      <c r="P67" s="53"/>
      <c r="Q67" s="66"/>
      <c r="AD67" s="85" t="s">
        <v>97</v>
      </c>
      <c r="AE67" s="83"/>
      <c r="AF67" s="84"/>
      <c r="AG67" s="64" t="s">
        <v>197</v>
      </c>
      <c r="AH67" s="53"/>
      <c r="AI67" s="53"/>
      <c r="AJ67" s="53"/>
      <c r="AK67" s="53"/>
      <c r="AL67" s="53"/>
      <c r="AM67" s="93">
        <f>AL68</f>
        <v>13200</v>
      </c>
    </row>
    <row r="68" spans="8:39" x14ac:dyDescent="0.25">
      <c r="H68" s="85" t="s">
        <v>97</v>
      </c>
      <c r="I68" s="83"/>
      <c r="J68" s="84"/>
      <c r="K68" s="64" t="s">
        <v>164</v>
      </c>
      <c r="L68" s="53"/>
      <c r="M68" s="53"/>
      <c r="N68" s="53"/>
      <c r="O68" s="53"/>
      <c r="P68" s="53"/>
      <c r="Q68" s="93">
        <f>P69</f>
        <v>2880</v>
      </c>
      <c r="AD68" s="82"/>
      <c r="AE68" s="83" t="s">
        <v>92</v>
      </c>
      <c r="AF68" s="84"/>
      <c r="AG68" s="53" t="s">
        <v>204</v>
      </c>
      <c r="AH68" s="53"/>
      <c r="AI68" s="53"/>
      <c r="AJ68" s="53"/>
      <c r="AK68" s="53"/>
      <c r="AL68" s="54">
        <f>AK69+AK71+AK70+AK72+AK73</f>
        <v>13200</v>
      </c>
      <c r="AM68" s="66"/>
    </row>
    <row r="69" spans="8:39" x14ac:dyDescent="0.25">
      <c r="H69" s="82"/>
      <c r="I69" s="83" t="s">
        <v>92</v>
      </c>
      <c r="J69" s="84"/>
      <c r="K69" s="53" t="s">
        <v>175</v>
      </c>
      <c r="L69" s="53"/>
      <c r="M69" s="53"/>
      <c r="N69" s="53"/>
      <c r="O69" s="53"/>
      <c r="P69" s="54">
        <f>O70+O71+O72</f>
        <v>2880</v>
      </c>
      <c r="Q69" s="66"/>
      <c r="AD69" s="82"/>
      <c r="AE69" s="84"/>
      <c r="AF69" s="83" t="s">
        <v>94</v>
      </c>
      <c r="AG69" s="53" t="s">
        <v>173</v>
      </c>
      <c r="AH69" s="53">
        <v>112</v>
      </c>
      <c r="AI69" s="53" t="s">
        <v>91</v>
      </c>
      <c r="AJ69" s="54">
        <f>Personal_Empresa!$P$26</f>
        <v>18.75</v>
      </c>
      <c r="AK69" s="54">
        <f>AH69*AJ69</f>
        <v>2100</v>
      </c>
      <c r="AL69" s="53"/>
      <c r="AM69" s="66"/>
    </row>
    <row r="70" spans="8:39" x14ac:dyDescent="0.25">
      <c r="H70" s="82"/>
      <c r="I70" s="84"/>
      <c r="J70" s="83" t="s">
        <v>85</v>
      </c>
      <c r="K70" s="53" t="s">
        <v>170</v>
      </c>
      <c r="L70" s="53">
        <v>32</v>
      </c>
      <c r="M70" s="53" t="s">
        <v>91</v>
      </c>
      <c r="N70" s="54">
        <f>Personal_Empresa!$P$27</f>
        <v>37.5</v>
      </c>
      <c r="O70" s="54">
        <f>L70*N70</f>
        <v>1200</v>
      </c>
      <c r="P70" s="53"/>
      <c r="Q70" s="66"/>
      <c r="AD70" s="82"/>
      <c r="AE70" s="84"/>
      <c r="AF70" s="83" t="s">
        <v>97</v>
      </c>
      <c r="AG70" s="53" t="s">
        <v>174</v>
      </c>
      <c r="AH70" s="53">
        <v>112</v>
      </c>
      <c r="AI70" s="53" t="s">
        <v>91</v>
      </c>
      <c r="AJ70" s="54">
        <f>Personal_Empresa!$P$25</f>
        <v>37.5</v>
      </c>
      <c r="AK70" s="54">
        <f>AH70*AJ70</f>
        <v>4200</v>
      </c>
      <c r="AL70" s="53"/>
      <c r="AM70" s="66"/>
    </row>
    <row r="71" spans="8:39" x14ac:dyDescent="0.25">
      <c r="H71" s="82"/>
      <c r="I71" s="84"/>
      <c r="J71" s="83" t="s">
        <v>94</v>
      </c>
      <c r="K71" s="53" t="s">
        <v>173</v>
      </c>
      <c r="L71" s="53">
        <v>32</v>
      </c>
      <c r="M71" s="53" t="s">
        <v>91</v>
      </c>
      <c r="N71" s="54">
        <f>Personal_Empresa!$P$26</f>
        <v>18.75</v>
      </c>
      <c r="O71" s="54">
        <f>L71*N71</f>
        <v>600</v>
      </c>
      <c r="P71" s="53"/>
      <c r="Q71" s="66"/>
      <c r="AD71" s="82"/>
      <c r="AE71" s="84"/>
      <c r="AF71" s="83" t="s">
        <v>100</v>
      </c>
      <c r="AG71" s="53" t="s">
        <v>171</v>
      </c>
      <c r="AH71" s="53">
        <v>112</v>
      </c>
      <c r="AI71" s="53" t="s">
        <v>91</v>
      </c>
      <c r="AJ71" s="54">
        <f>Personal_Empresa!$P$28</f>
        <v>37.5</v>
      </c>
      <c r="AK71" s="54">
        <f>AH71*AJ71</f>
        <v>4200</v>
      </c>
      <c r="AL71" s="53"/>
      <c r="AM71" s="66"/>
    </row>
    <row r="72" spans="8:39" ht="15.75" thickBot="1" x14ac:dyDescent="0.3">
      <c r="H72" s="86"/>
      <c r="I72" s="88"/>
      <c r="J72" s="87" t="s">
        <v>97</v>
      </c>
      <c r="K72" s="70" t="s">
        <v>179</v>
      </c>
      <c r="L72" s="70">
        <v>32</v>
      </c>
      <c r="M72" s="70" t="s">
        <v>91</v>
      </c>
      <c r="N72" s="92">
        <f>Personal_Empresa!$P$30</f>
        <v>33.75</v>
      </c>
      <c r="O72" s="92">
        <f>L72*N72</f>
        <v>1080</v>
      </c>
      <c r="P72" s="70"/>
      <c r="Q72" s="71"/>
      <c r="AD72" s="82"/>
      <c r="AE72" s="84"/>
      <c r="AF72" s="83" t="s">
        <v>121</v>
      </c>
      <c r="AG72" s="53" t="s">
        <v>242</v>
      </c>
      <c r="AH72" s="53">
        <v>56</v>
      </c>
      <c r="AI72" s="53" t="s">
        <v>91</v>
      </c>
      <c r="AJ72" s="54">
        <f>AJ66</f>
        <v>37.5</v>
      </c>
      <c r="AK72" s="54">
        <f>AH72*AJ72</f>
        <v>2100</v>
      </c>
      <c r="AL72" s="53"/>
      <c r="AM72" s="66"/>
    </row>
    <row r="73" spans="8:39" ht="15.75" thickBot="1" x14ac:dyDescent="0.3">
      <c r="J73" s="62"/>
      <c r="N73" s="89"/>
      <c r="O73" s="89"/>
      <c r="AD73" s="110"/>
      <c r="AE73" s="111"/>
      <c r="AF73" s="112" t="s">
        <v>123</v>
      </c>
      <c r="AG73" s="107" t="s">
        <v>205</v>
      </c>
      <c r="AH73" s="107">
        <v>8</v>
      </c>
      <c r="AI73" s="107" t="s">
        <v>91</v>
      </c>
      <c r="AJ73" s="92">
        <v>75</v>
      </c>
      <c r="AK73" s="108">
        <f>AH73*AJ73</f>
        <v>600</v>
      </c>
      <c r="AL73" s="107"/>
      <c r="AM73" s="109"/>
    </row>
    <row r="74" spans="8:39" ht="16.5" thickBot="1" x14ac:dyDescent="0.3">
      <c r="H74" s="227" t="s">
        <v>83</v>
      </c>
      <c r="I74" s="228"/>
      <c r="J74" s="228"/>
      <c r="K74" s="228"/>
      <c r="L74" s="228"/>
      <c r="M74" s="228"/>
      <c r="N74" s="228"/>
      <c r="O74" s="228"/>
      <c r="P74" s="229"/>
      <c r="Q74" s="95">
        <f>Q58+Q63+Q68</f>
        <v>15120</v>
      </c>
    </row>
    <row r="75" spans="8:39" ht="16.5" thickBot="1" x14ac:dyDescent="0.3">
      <c r="AD75" s="227" t="s">
        <v>83</v>
      </c>
      <c r="AE75" s="228"/>
      <c r="AF75" s="228"/>
      <c r="AG75" s="228"/>
      <c r="AH75" s="228"/>
      <c r="AI75" s="228"/>
      <c r="AJ75" s="228"/>
      <c r="AK75" s="228"/>
      <c r="AL75" s="229"/>
      <c r="AM75" s="245">
        <v>146880</v>
      </c>
    </row>
    <row r="76" spans="8:39" x14ac:dyDescent="0.25">
      <c r="AM76" s="244"/>
    </row>
  </sheetData>
  <mergeCells count="16">
    <mergeCell ref="AD75:AL75"/>
    <mergeCell ref="H3:Q3"/>
    <mergeCell ref="H21:Q21"/>
    <mergeCell ref="H35:P35"/>
    <mergeCell ref="H19:P19"/>
    <mergeCell ref="H37:Q37"/>
    <mergeCell ref="H54:P54"/>
    <mergeCell ref="H56:Q56"/>
    <mergeCell ref="H74:P74"/>
    <mergeCell ref="S3:AB3"/>
    <mergeCell ref="S19:AB19"/>
    <mergeCell ref="S17:AA17"/>
    <mergeCell ref="S39:AB39"/>
    <mergeCell ref="S37:AA37"/>
    <mergeCell ref="S60:AA60"/>
    <mergeCell ref="AD3:AM3"/>
  </mergeCells>
  <phoneticPr fontId="1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38DF-E7C5-45A3-AF97-9FDF832EFE3B}">
  <dimension ref="B3:K14"/>
  <sheetViews>
    <sheetView zoomScale="115" zoomScaleNormal="115" workbookViewId="0">
      <selection activeCell="P23" sqref="P23"/>
    </sheetView>
  </sheetViews>
  <sheetFormatPr baseColWidth="10" defaultColWidth="9.140625" defaultRowHeight="15" x14ac:dyDescent="0.25"/>
  <cols>
    <col min="4" max="4" width="21.5703125" customWidth="1"/>
    <col min="5" max="5" width="27.7109375" customWidth="1"/>
    <col min="6" max="6" width="15.42578125" customWidth="1"/>
    <col min="7" max="7" width="13" customWidth="1"/>
    <col min="8" max="8" width="13.85546875" customWidth="1"/>
    <col min="9" max="9" width="13" customWidth="1"/>
    <col min="10" max="10" width="12.7109375" customWidth="1"/>
    <col min="11" max="11" width="11.85546875" customWidth="1"/>
  </cols>
  <sheetData>
    <row r="3" spans="2:11" ht="18.75" x14ac:dyDescent="0.3">
      <c r="B3" s="52"/>
      <c r="C3" s="43"/>
    </row>
    <row r="4" spans="2:11" ht="15.75" x14ac:dyDescent="0.25">
      <c r="B4" s="230" t="s">
        <v>206</v>
      </c>
      <c r="C4" s="231"/>
      <c r="D4" s="231"/>
      <c r="E4" s="231"/>
      <c r="F4" s="231"/>
      <c r="G4" s="231"/>
      <c r="H4" s="231"/>
      <c r="I4" s="231"/>
      <c r="J4" s="231"/>
      <c r="K4" s="232"/>
    </row>
    <row r="5" spans="2:11" ht="15.75" x14ac:dyDescent="0.25">
      <c r="B5" s="96" t="s">
        <v>77</v>
      </c>
      <c r="C5" s="97" t="s">
        <v>78</v>
      </c>
      <c r="D5" s="97" t="s">
        <v>87</v>
      </c>
      <c r="E5" s="98" t="s">
        <v>79</v>
      </c>
      <c r="F5" s="98" t="s">
        <v>80</v>
      </c>
      <c r="G5" s="98" t="s">
        <v>81</v>
      </c>
      <c r="H5" s="98" t="s">
        <v>40</v>
      </c>
      <c r="I5" s="98" t="s">
        <v>88</v>
      </c>
      <c r="J5" s="98" t="s">
        <v>82</v>
      </c>
      <c r="K5" s="99" t="s">
        <v>83</v>
      </c>
    </row>
    <row r="6" spans="2:11" ht="30" x14ac:dyDescent="0.25">
      <c r="B6" s="201" t="s">
        <v>85</v>
      </c>
      <c r="C6" s="180"/>
      <c r="D6" s="180"/>
      <c r="E6" s="181" t="s">
        <v>207</v>
      </c>
      <c r="F6" s="100"/>
      <c r="G6" s="100"/>
      <c r="H6" s="100"/>
      <c r="I6" s="100"/>
      <c r="J6" s="100"/>
      <c r="K6" s="102">
        <f>SUM(J7,J10)</f>
        <v>6475</v>
      </c>
    </row>
    <row r="7" spans="2:11" ht="48" customHeight="1" x14ac:dyDescent="0.25">
      <c r="B7" s="182"/>
      <c r="C7" s="202" t="s">
        <v>92</v>
      </c>
      <c r="D7" s="15"/>
      <c r="E7" s="149" t="s">
        <v>208</v>
      </c>
      <c r="F7" s="53"/>
      <c r="G7" s="53"/>
      <c r="H7" s="53"/>
      <c r="I7" s="53"/>
      <c r="J7" s="152">
        <f>SUM(I8:I9)</f>
        <v>575</v>
      </c>
      <c r="K7" s="66"/>
    </row>
    <row r="8" spans="2:11" x14ac:dyDescent="0.25">
      <c r="B8" s="182"/>
      <c r="C8" s="15"/>
      <c r="D8" s="19" t="s">
        <v>85</v>
      </c>
      <c r="E8" s="150" t="s">
        <v>209</v>
      </c>
      <c r="F8" s="53">
        <v>5</v>
      </c>
      <c r="G8" s="53" t="s">
        <v>210</v>
      </c>
      <c r="H8" s="197">
        <f>Personal_Empresa!K31</f>
        <v>60</v>
      </c>
      <c r="I8" s="195">
        <f t="shared" ref="I8:I9" si="0">PRODUCT(F8,H8)</f>
        <v>300</v>
      </c>
      <c r="J8" s="53"/>
      <c r="K8" s="66"/>
    </row>
    <row r="9" spans="2:11" x14ac:dyDescent="0.25">
      <c r="B9" s="182"/>
      <c r="C9" s="15"/>
      <c r="D9" s="19" t="s">
        <v>94</v>
      </c>
      <c r="E9" s="150" t="s">
        <v>20</v>
      </c>
      <c r="F9" s="53">
        <v>5</v>
      </c>
      <c r="G9" s="53" t="s">
        <v>210</v>
      </c>
      <c r="H9" s="197">
        <f>Personal_Empresa!K32</f>
        <v>55</v>
      </c>
      <c r="I9" s="195">
        <f t="shared" si="0"/>
        <v>275</v>
      </c>
      <c r="J9" s="53"/>
      <c r="K9" s="66"/>
    </row>
    <row r="10" spans="2:11" x14ac:dyDescent="0.25">
      <c r="B10" s="182"/>
      <c r="C10" s="203" t="s">
        <v>95</v>
      </c>
      <c r="D10" s="15"/>
      <c r="E10" s="192" t="s">
        <v>212</v>
      </c>
      <c r="F10" s="53"/>
      <c r="G10" s="53"/>
      <c r="H10" s="198"/>
      <c r="I10" s="195"/>
      <c r="J10" s="152">
        <f>SUM(I11:I13)</f>
        <v>5900</v>
      </c>
      <c r="K10" s="66"/>
    </row>
    <row r="11" spans="2:11" x14ac:dyDescent="0.25">
      <c r="B11" s="182"/>
      <c r="C11" s="15"/>
      <c r="D11" s="121" t="s">
        <v>85</v>
      </c>
      <c r="E11" s="151" t="s">
        <v>209</v>
      </c>
      <c r="F11" s="53">
        <v>5</v>
      </c>
      <c r="G11" s="53" t="s">
        <v>210</v>
      </c>
      <c r="H11" s="197">
        <f>Personal_Empresa!K31</f>
        <v>60</v>
      </c>
      <c r="I11" s="195">
        <f>PRODUCT(F11,H11)</f>
        <v>300</v>
      </c>
      <c r="J11" s="53"/>
      <c r="K11" s="66"/>
    </row>
    <row r="12" spans="2:11" x14ac:dyDescent="0.25">
      <c r="B12" s="182"/>
      <c r="C12" s="15"/>
      <c r="D12" s="121" t="s">
        <v>94</v>
      </c>
      <c r="E12" s="151" t="s">
        <v>213</v>
      </c>
      <c r="F12" s="53">
        <v>40</v>
      </c>
      <c r="G12" s="53" t="s">
        <v>210</v>
      </c>
      <c r="H12" s="199">
        <f>Partida2_Desarrollo!AJ7</f>
        <v>50</v>
      </c>
      <c r="I12" s="195">
        <f>PRODUCT(F12,H12)</f>
        <v>2000</v>
      </c>
      <c r="J12" s="53"/>
      <c r="K12" s="66"/>
    </row>
    <row r="13" spans="2:11" ht="15.75" thickBot="1" x14ac:dyDescent="0.3">
      <c r="B13" s="183"/>
      <c r="C13" s="184"/>
      <c r="D13" s="185" t="s">
        <v>97</v>
      </c>
      <c r="E13" s="186" t="s">
        <v>211</v>
      </c>
      <c r="F13" s="70">
        <v>120</v>
      </c>
      <c r="G13" s="70" t="s">
        <v>210</v>
      </c>
      <c r="H13" s="200">
        <v>30</v>
      </c>
      <c r="I13" s="196">
        <f>PRODUCT(F13,H13)</f>
        <v>3600</v>
      </c>
      <c r="J13" s="141"/>
      <c r="K13" s="142"/>
    </row>
    <row r="14" spans="2:11" ht="15.75" thickBot="1" x14ac:dyDescent="0.3">
      <c r="J14" s="187" t="s">
        <v>6</v>
      </c>
      <c r="K14" s="188">
        <f>K6</f>
        <v>6475</v>
      </c>
    </row>
  </sheetData>
  <mergeCells count="1">
    <mergeCell ref="B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FA91-5C50-4DB2-8BFC-0E5E2C8FD05A}">
  <dimension ref="B1:K8"/>
  <sheetViews>
    <sheetView zoomScale="130" zoomScaleNormal="130" workbookViewId="0">
      <selection activeCell="E7" sqref="E7"/>
    </sheetView>
  </sheetViews>
  <sheetFormatPr baseColWidth="10" defaultRowHeight="15" x14ac:dyDescent="0.25"/>
  <cols>
    <col min="2" max="2" width="3.42578125" bestFit="1" customWidth="1"/>
    <col min="3" max="3" width="4.42578125" bestFit="1" customWidth="1"/>
    <col min="4" max="4" width="3.42578125" bestFit="1" customWidth="1"/>
    <col min="5" max="5" width="46.28515625" bestFit="1" customWidth="1"/>
    <col min="9" max="10" width="12.5703125" bestFit="1" customWidth="1"/>
    <col min="11" max="11" width="11.85546875" bestFit="1" customWidth="1"/>
  </cols>
  <sheetData>
    <row r="1" spans="2:11" ht="15.75" thickBot="1" x14ac:dyDescent="0.3"/>
    <row r="2" spans="2:11" ht="16.5" thickBot="1" x14ac:dyDescent="0.3">
      <c r="B2" s="230" t="s">
        <v>232</v>
      </c>
      <c r="C2" s="231"/>
      <c r="D2" s="231"/>
      <c r="E2" s="231"/>
      <c r="F2" s="231"/>
      <c r="G2" s="231"/>
      <c r="H2" s="231"/>
      <c r="I2" s="231"/>
      <c r="J2" s="231"/>
      <c r="K2" s="232"/>
    </row>
    <row r="3" spans="2:11" ht="16.5" thickBot="1" x14ac:dyDescent="0.3">
      <c r="B3" s="96" t="s">
        <v>77</v>
      </c>
      <c r="C3" s="97" t="s">
        <v>78</v>
      </c>
      <c r="D3" s="97" t="s">
        <v>87</v>
      </c>
      <c r="E3" s="98" t="s">
        <v>79</v>
      </c>
      <c r="F3" s="98" t="s">
        <v>80</v>
      </c>
      <c r="G3" s="98" t="s">
        <v>81</v>
      </c>
      <c r="H3" s="98" t="s">
        <v>40</v>
      </c>
      <c r="I3" s="98" t="s">
        <v>88</v>
      </c>
      <c r="J3" s="98" t="s">
        <v>82</v>
      </c>
      <c r="K3" s="99" t="s">
        <v>83</v>
      </c>
    </row>
    <row r="4" spans="2:11" x14ac:dyDescent="0.25">
      <c r="B4" s="201" t="s">
        <v>85</v>
      </c>
      <c r="C4" s="180"/>
      <c r="D4" s="180"/>
      <c r="E4" s="181" t="s">
        <v>233</v>
      </c>
      <c r="F4" s="100"/>
      <c r="G4" s="100"/>
      <c r="H4" s="100"/>
      <c r="I4" s="100"/>
      <c r="J4" s="100"/>
      <c r="K4" s="102">
        <f>J5</f>
        <v>1800</v>
      </c>
    </row>
    <row r="5" spans="2:11" x14ac:dyDescent="0.25">
      <c r="B5" s="182"/>
      <c r="C5" s="202" t="s">
        <v>92</v>
      </c>
      <c r="D5" s="15"/>
      <c r="E5" s="149"/>
      <c r="F5" s="53"/>
      <c r="G5" s="53"/>
      <c r="H5" s="53"/>
      <c r="I5" s="53"/>
      <c r="J5" s="152">
        <f>SUM(I6:I8)</f>
        <v>1800</v>
      </c>
      <c r="K5" s="66"/>
    </row>
    <row r="6" spans="2:11" x14ac:dyDescent="0.25">
      <c r="B6" s="182"/>
      <c r="C6" s="15"/>
      <c r="D6" s="19" t="s">
        <v>85</v>
      </c>
      <c r="E6" s="150" t="s">
        <v>234</v>
      </c>
      <c r="F6" s="53">
        <v>3000</v>
      </c>
      <c r="G6" s="53" t="s">
        <v>235</v>
      </c>
      <c r="H6" s="197">
        <v>0.2</v>
      </c>
      <c r="I6" s="195">
        <f>F6*H6</f>
        <v>600</v>
      </c>
      <c r="J6" s="53"/>
      <c r="K6" s="66"/>
    </row>
    <row r="7" spans="2:11" ht="15.75" thickBot="1" x14ac:dyDescent="0.3">
      <c r="B7" s="183"/>
      <c r="C7" s="184"/>
      <c r="D7" s="185" t="s">
        <v>94</v>
      </c>
      <c r="E7" s="220" t="s">
        <v>236</v>
      </c>
      <c r="F7" s="70">
        <v>100</v>
      </c>
      <c r="G7" s="70" t="s">
        <v>237</v>
      </c>
      <c r="H7" s="200">
        <v>12</v>
      </c>
      <c r="I7" s="196">
        <f>F7*H7</f>
        <v>1200</v>
      </c>
      <c r="J7" s="141"/>
      <c r="K7" s="142"/>
    </row>
    <row r="8" spans="2:11" ht="15.75" thickBot="1" x14ac:dyDescent="0.3">
      <c r="J8" s="187" t="s">
        <v>6</v>
      </c>
      <c r="K8" s="188">
        <f>K4</f>
        <v>1800</v>
      </c>
    </row>
  </sheetData>
  <mergeCells count="1"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86F5-E2D8-4939-83CF-551DF71ED529}">
  <dimension ref="B4:D11"/>
  <sheetViews>
    <sheetView zoomScale="115" zoomScaleNormal="115" workbookViewId="0">
      <selection activeCell="P23" sqref="P23"/>
    </sheetView>
  </sheetViews>
  <sheetFormatPr baseColWidth="10" defaultColWidth="9.140625" defaultRowHeight="15" x14ac:dyDescent="0.25"/>
  <cols>
    <col min="3" max="3" width="39.7109375" customWidth="1"/>
    <col min="4" max="4" width="14.42578125" customWidth="1"/>
  </cols>
  <sheetData>
    <row r="4" spans="2:4" x14ac:dyDescent="0.25">
      <c r="B4" s="233" t="s">
        <v>214</v>
      </c>
      <c r="C4" s="233"/>
      <c r="D4" s="233"/>
    </row>
    <row r="5" spans="2:4" ht="15.75" x14ac:dyDescent="0.25">
      <c r="B5" s="124" t="s">
        <v>215</v>
      </c>
      <c r="C5" s="125" t="s">
        <v>216</v>
      </c>
      <c r="D5" s="125" t="s">
        <v>83</v>
      </c>
    </row>
    <row r="6" spans="2:4" ht="15.75" x14ac:dyDescent="0.25">
      <c r="B6" s="161" t="s">
        <v>85</v>
      </c>
      <c r="C6" s="122" t="s">
        <v>217</v>
      </c>
      <c r="D6" s="123">
        <f>Partida1_AdquisiciónInstalación!Z40</f>
        <v>284149.5</v>
      </c>
    </row>
    <row r="7" spans="2:4" ht="15.75" x14ac:dyDescent="0.25">
      <c r="B7" s="162" t="s">
        <v>94</v>
      </c>
      <c r="C7" s="122" t="s">
        <v>146</v>
      </c>
      <c r="D7" s="123">
        <f>Partida2_Desarrollo!AM75</f>
        <v>146880</v>
      </c>
    </row>
    <row r="8" spans="2:4" ht="15.75" x14ac:dyDescent="0.25">
      <c r="B8" s="161" t="s">
        <v>97</v>
      </c>
      <c r="C8" s="122" t="s">
        <v>206</v>
      </c>
      <c r="D8" s="123">
        <f>Partida3_Formacion!K14</f>
        <v>6475</v>
      </c>
    </row>
    <row r="9" spans="2:4" ht="15.75" x14ac:dyDescent="0.25">
      <c r="B9" s="161" t="s">
        <v>100</v>
      </c>
      <c r="C9" s="122" t="s">
        <v>232</v>
      </c>
      <c r="D9" s="123">
        <f>Partida4_OtrosCostes!K8</f>
        <v>1800</v>
      </c>
    </row>
    <row r="11" spans="2:4" x14ac:dyDescent="0.25">
      <c r="B11" s="234" t="s">
        <v>218</v>
      </c>
      <c r="C11" s="234"/>
      <c r="D11" s="191">
        <f>SUM(D6:D9)</f>
        <v>439304.5</v>
      </c>
    </row>
  </sheetData>
  <mergeCells count="2">
    <mergeCell ref="B4:D4"/>
    <mergeCell ref="B11:C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C446-0E72-4F89-9FF3-4B5B0FF70336}">
  <dimension ref="B4:N32"/>
  <sheetViews>
    <sheetView topLeftCell="D1" zoomScale="85" zoomScaleNormal="85" workbookViewId="0">
      <selection activeCell="H25" sqref="H25"/>
    </sheetView>
  </sheetViews>
  <sheetFormatPr baseColWidth="10" defaultColWidth="9.140625" defaultRowHeight="15" x14ac:dyDescent="0.25"/>
  <cols>
    <col min="2" max="2" width="10.42578125" customWidth="1"/>
    <col min="3" max="3" width="19.42578125" customWidth="1"/>
    <col min="4" max="4" width="28.42578125" customWidth="1"/>
    <col min="5" max="5" width="17" bestFit="1" customWidth="1"/>
    <col min="6" max="6" width="14.42578125" customWidth="1"/>
    <col min="7" max="7" width="17.140625" bestFit="1" customWidth="1"/>
    <col min="8" max="8" width="35.28515625" customWidth="1"/>
    <col min="9" max="9" width="21.85546875" customWidth="1"/>
    <col min="10" max="10" width="7.7109375" bestFit="1" customWidth="1"/>
    <col min="11" max="11" width="5.28515625" bestFit="1" customWidth="1"/>
    <col min="12" max="12" width="35" customWidth="1"/>
    <col min="13" max="13" width="12.42578125" bestFit="1" customWidth="1"/>
    <col min="14" max="14" width="15.42578125" customWidth="1"/>
  </cols>
  <sheetData>
    <row r="4" spans="2:14" x14ac:dyDescent="0.25">
      <c r="C4" s="214"/>
      <c r="D4" s="238" t="s">
        <v>219</v>
      </c>
      <c r="E4" s="240"/>
    </row>
    <row r="5" spans="2:14" ht="15.75" x14ac:dyDescent="0.25">
      <c r="B5" s="210"/>
      <c r="C5" s="210"/>
      <c r="D5" s="208" t="s">
        <v>216</v>
      </c>
      <c r="E5" s="208" t="s">
        <v>67</v>
      </c>
    </row>
    <row r="6" spans="2:14" ht="15.75" x14ac:dyDescent="0.25">
      <c r="B6" s="211"/>
      <c r="C6" s="212"/>
      <c r="D6" s="167" t="s">
        <v>217</v>
      </c>
      <c r="E6" s="119"/>
      <c r="G6" s="17"/>
      <c r="H6" s="38">
        <f>SUM(G7:G20)</f>
        <v>572818.125</v>
      </c>
      <c r="J6" s="238" t="s">
        <v>220</v>
      </c>
      <c r="K6" s="239"/>
      <c r="L6" s="239"/>
      <c r="M6" s="239"/>
      <c r="N6" s="240"/>
    </row>
    <row r="7" spans="2:14" ht="15.75" x14ac:dyDescent="0.25">
      <c r="B7" s="211"/>
      <c r="C7" s="212"/>
      <c r="D7" s="164" t="s">
        <v>89</v>
      </c>
      <c r="E7" s="119">
        <f>Partida1_AdquisiciónInstalación!Z5</f>
        <v>6400</v>
      </c>
      <c r="G7" s="119">
        <f>G29*E7+E7</f>
        <v>9414.732909670478</v>
      </c>
      <c r="H7" s="17"/>
      <c r="J7" s="208" t="s">
        <v>216</v>
      </c>
      <c r="K7" s="208" t="s">
        <v>221</v>
      </c>
      <c r="L7" s="208" t="s">
        <v>216</v>
      </c>
      <c r="M7" s="209" t="s">
        <v>67</v>
      </c>
      <c r="N7" s="209" t="s">
        <v>83</v>
      </c>
    </row>
    <row r="8" spans="2:14" ht="15.75" x14ac:dyDescent="0.25">
      <c r="B8" s="211"/>
      <c r="C8" s="212"/>
      <c r="D8" s="164" t="s">
        <v>99</v>
      </c>
      <c r="E8" s="119">
        <f>Partida1_AdquisiciónInstalación!Z13</f>
        <v>212949.5</v>
      </c>
      <c r="G8" s="119">
        <f>G29*(E8-E26)+E8</f>
        <v>214080.02484112643</v>
      </c>
      <c r="H8" s="17"/>
      <c r="J8" s="166" t="s">
        <v>85</v>
      </c>
      <c r="K8" s="163"/>
      <c r="L8" s="204" t="s">
        <v>217</v>
      </c>
      <c r="M8" s="119"/>
      <c r="N8" s="38">
        <f>SUM(M9:M11)</f>
        <v>318818.92846121045</v>
      </c>
    </row>
    <row r="9" spans="2:14" ht="15.75" x14ac:dyDescent="0.25">
      <c r="B9" s="211"/>
      <c r="C9" s="212"/>
      <c r="D9" s="164" t="s">
        <v>222</v>
      </c>
      <c r="E9" s="119">
        <f>Partida1_AdquisiciónInstalación!Z36</f>
        <v>64800</v>
      </c>
      <c r="G9" s="119">
        <f>G29*E9+E9</f>
        <v>95324.170710413571</v>
      </c>
      <c r="H9" s="17"/>
      <c r="J9" s="166"/>
      <c r="K9" s="163" t="s">
        <v>85</v>
      </c>
      <c r="L9" s="205" t="s">
        <v>89</v>
      </c>
      <c r="M9" s="119">
        <f>G7</f>
        <v>9414.732909670478</v>
      </c>
      <c r="N9" s="119"/>
    </row>
    <row r="10" spans="2:14" ht="15.75" x14ac:dyDescent="0.25">
      <c r="B10" s="211"/>
      <c r="C10" s="212"/>
      <c r="D10" s="167" t="s">
        <v>146</v>
      </c>
      <c r="E10" s="119"/>
      <c r="G10" s="119"/>
      <c r="H10" s="17"/>
      <c r="J10" s="166"/>
      <c r="K10" s="163" t="s">
        <v>94</v>
      </c>
      <c r="L10" s="205" t="s">
        <v>99</v>
      </c>
      <c r="M10" s="119">
        <f>G8</f>
        <v>214080.02484112643</v>
      </c>
      <c r="N10" s="119"/>
    </row>
    <row r="11" spans="2:14" ht="30" x14ac:dyDescent="0.25">
      <c r="B11" s="211"/>
      <c r="C11" s="212"/>
      <c r="D11" s="164" t="s">
        <v>223</v>
      </c>
      <c r="E11" s="119">
        <f>Partida2_Desarrollo!Q19</f>
        <v>24720</v>
      </c>
      <c r="G11" s="119">
        <f>G29*E11+E11</f>
        <v>36364.405863602216</v>
      </c>
      <c r="H11" s="17"/>
      <c r="J11" s="166"/>
      <c r="K11" s="163" t="s">
        <v>97</v>
      </c>
      <c r="L11" s="205" t="s">
        <v>222</v>
      </c>
      <c r="M11" s="119">
        <f t="shared" ref="M11:M19" si="0">G9</f>
        <v>95324.170710413571</v>
      </c>
      <c r="N11" s="119"/>
    </row>
    <row r="12" spans="2:14" ht="18.75" customHeight="1" x14ac:dyDescent="0.25">
      <c r="B12" s="211"/>
      <c r="C12" s="212"/>
      <c r="D12" s="164" t="s">
        <v>191</v>
      </c>
      <c r="E12" s="119">
        <f>Partida2_Desarrollo!Q35</f>
        <v>14580</v>
      </c>
      <c r="G12" s="119">
        <f>G29*E12+E12</f>
        <v>21447.938409843056</v>
      </c>
      <c r="H12" s="17"/>
      <c r="J12" s="166" t="s">
        <v>94</v>
      </c>
      <c r="K12" s="163"/>
      <c r="L12" s="204" t="s">
        <v>146</v>
      </c>
      <c r="M12" s="119"/>
      <c r="N12" s="38">
        <f>SUM(M13:M19)</f>
        <v>244474.13472783382</v>
      </c>
    </row>
    <row r="13" spans="2:14" ht="28.5" customHeight="1" x14ac:dyDescent="0.25">
      <c r="B13" s="211"/>
      <c r="C13" s="212"/>
      <c r="D13" s="164" t="s">
        <v>239</v>
      </c>
      <c r="E13" s="119">
        <f>Partida2_Desarrollo!Q54</f>
        <v>34550</v>
      </c>
      <c r="G13" s="119">
        <f>G29*E13+E13</f>
        <v>50824.847192049216</v>
      </c>
      <c r="H13" s="17"/>
      <c r="J13" s="166"/>
      <c r="K13" s="163" t="s">
        <v>85</v>
      </c>
      <c r="L13" s="205" t="s">
        <v>223</v>
      </c>
      <c r="M13" s="119">
        <f t="shared" si="0"/>
        <v>36364.405863602216</v>
      </c>
      <c r="N13" s="119"/>
    </row>
    <row r="14" spans="2:14" ht="15.75" x14ac:dyDescent="0.25">
      <c r="B14" s="211"/>
      <c r="C14" s="212"/>
      <c r="D14" s="164" t="s">
        <v>203</v>
      </c>
      <c r="E14" s="119">
        <f>Partida2_Desarrollo!Q74</f>
        <v>15120</v>
      </c>
      <c r="G14" s="119">
        <f>G29*E14+E14</f>
        <v>22242.306499096503</v>
      </c>
      <c r="H14" s="17"/>
      <c r="J14" s="166"/>
      <c r="K14" s="163" t="s">
        <v>94</v>
      </c>
      <c r="L14" s="205" t="s">
        <v>191</v>
      </c>
      <c r="M14" s="119">
        <f t="shared" si="0"/>
        <v>21447.938409843056</v>
      </c>
      <c r="N14" s="119"/>
    </row>
    <row r="15" spans="2:14" ht="15.75" x14ac:dyDescent="0.25">
      <c r="B15" s="211"/>
      <c r="C15" s="212"/>
      <c r="D15" s="164" t="s">
        <v>166</v>
      </c>
      <c r="E15" s="119">
        <f>Partida2_Desarrollo!AB17</f>
        <v>6180</v>
      </c>
      <c r="G15" s="119">
        <f>G29*E15+E15</f>
        <v>9091.1014659005541</v>
      </c>
      <c r="H15" s="17"/>
      <c r="J15" s="166"/>
      <c r="K15" s="163" t="s">
        <v>97</v>
      </c>
      <c r="L15" s="205" t="s">
        <v>239</v>
      </c>
      <c r="M15" s="119">
        <f t="shared" si="0"/>
        <v>50824.847192049216</v>
      </c>
      <c r="N15" s="119"/>
    </row>
    <row r="16" spans="2:14" ht="15.75" x14ac:dyDescent="0.25">
      <c r="B16" s="211"/>
      <c r="C16" s="212"/>
      <c r="D16" s="164" t="s">
        <v>188</v>
      </c>
      <c r="E16" s="119">
        <f>Partida2_Desarrollo!AB37</f>
        <v>40920</v>
      </c>
      <c r="G16" s="119">
        <f>G29*E16+E16</f>
        <v>60195.448541205609</v>
      </c>
      <c r="H16" s="17"/>
      <c r="J16" s="166"/>
      <c r="K16" s="163" t="s">
        <v>100</v>
      </c>
      <c r="L16" s="205" t="s">
        <v>203</v>
      </c>
      <c r="M16" s="119">
        <f t="shared" si="0"/>
        <v>22242.306499096503</v>
      </c>
      <c r="N16" s="119"/>
    </row>
    <row r="17" spans="2:14" ht="30" x14ac:dyDescent="0.25">
      <c r="B17" s="211"/>
      <c r="C17" s="212"/>
      <c r="D17" s="164" t="s">
        <v>201</v>
      </c>
      <c r="E17" s="119">
        <f>Partida2_Desarrollo!AB60</f>
        <v>30120</v>
      </c>
      <c r="G17" s="119">
        <f>G29*E17+E17</f>
        <v>44308.086756136683</v>
      </c>
      <c r="H17" s="17"/>
      <c r="J17" s="166"/>
      <c r="K17" s="163" t="s">
        <v>121</v>
      </c>
      <c r="L17" s="205" t="s">
        <v>166</v>
      </c>
      <c r="M17" s="119">
        <f t="shared" si="0"/>
        <v>9091.1014659005541</v>
      </c>
      <c r="N17" s="119"/>
    </row>
    <row r="18" spans="2:14" ht="15.75" x14ac:dyDescent="0.25">
      <c r="B18" s="211"/>
      <c r="C18" s="212"/>
      <c r="D18" s="167" t="s">
        <v>206</v>
      </c>
      <c r="E18" s="119"/>
      <c r="G18" s="119"/>
      <c r="H18" s="17"/>
      <c r="J18" s="166"/>
      <c r="K18" s="163" t="s">
        <v>123</v>
      </c>
      <c r="L18" s="205" t="s">
        <v>188</v>
      </c>
      <c r="M18" s="119">
        <f t="shared" si="0"/>
        <v>60195.448541205609</v>
      </c>
      <c r="N18" s="119"/>
    </row>
    <row r="19" spans="2:14" ht="33.75" customHeight="1" x14ac:dyDescent="0.25">
      <c r="B19" s="211"/>
      <c r="C19" s="212"/>
      <c r="D19" s="164" t="s">
        <v>208</v>
      </c>
      <c r="E19" s="119">
        <f>Partida3_Formacion!J7</f>
        <v>575</v>
      </c>
      <c r="G19" s="119">
        <f>G29*E19+E19</f>
        <v>845.85490985320689</v>
      </c>
      <c r="H19" s="17"/>
      <c r="J19" s="166"/>
      <c r="K19" s="163" t="s">
        <v>126</v>
      </c>
      <c r="L19" s="205" t="s">
        <v>201</v>
      </c>
      <c r="M19" s="119">
        <f t="shared" si="0"/>
        <v>44308.086756136683</v>
      </c>
      <c r="N19" s="119"/>
    </row>
    <row r="20" spans="2:14" ht="15.75" x14ac:dyDescent="0.25">
      <c r="B20" s="211"/>
      <c r="C20" s="213"/>
      <c r="D20" s="164" t="s">
        <v>212</v>
      </c>
      <c r="E20" s="119">
        <f>Partida3_Formacion!J10</f>
        <v>5900</v>
      </c>
      <c r="G20" s="119">
        <f>G29*E20+E20</f>
        <v>8679.2069011024705</v>
      </c>
      <c r="H20" s="17"/>
      <c r="J20" s="166" t="s">
        <v>97</v>
      </c>
      <c r="K20" s="163"/>
      <c r="L20" s="204" t="s">
        <v>206</v>
      </c>
      <c r="M20" s="119"/>
      <c r="N20" s="38">
        <f>SUM(M21:M22)</f>
        <v>9525.0618109556781</v>
      </c>
    </row>
    <row r="21" spans="2:14" ht="17.25" customHeight="1" x14ac:dyDescent="0.25">
      <c r="J21" s="166"/>
      <c r="K21" s="163" t="s">
        <v>85</v>
      </c>
      <c r="L21" s="205" t="s">
        <v>208</v>
      </c>
      <c r="M21" s="119">
        <f>G19</f>
        <v>845.85490985320689</v>
      </c>
      <c r="N21" s="119"/>
    </row>
    <row r="22" spans="2:14" ht="15.75" x14ac:dyDescent="0.25">
      <c r="E22" s="215" t="s">
        <v>224</v>
      </c>
      <c r="G22" s="215" t="s">
        <v>225</v>
      </c>
      <c r="J22" s="166"/>
      <c r="K22" s="165" t="s">
        <v>94</v>
      </c>
      <c r="L22" s="205" t="s">
        <v>212</v>
      </c>
      <c r="M22" s="119">
        <f>G20</f>
        <v>8679.2069011024705</v>
      </c>
      <c r="N22" s="119"/>
    </row>
    <row r="23" spans="2:14" x14ac:dyDescent="0.25">
      <c r="E23" s="119">
        <f>SUM(E6:E20)</f>
        <v>456814.5</v>
      </c>
      <c r="G23" s="119">
        <f>E29+E32</f>
        <v>116003.625</v>
      </c>
    </row>
    <row r="24" spans="2:14" x14ac:dyDescent="0.25">
      <c r="J24" s="235" t="s">
        <v>226</v>
      </c>
      <c r="K24" s="236"/>
      <c r="L24" s="236"/>
      <c r="M24" s="237"/>
      <c r="N24" s="179">
        <f>SUM(N8,N12,N20)</f>
        <v>572818.12499999988</v>
      </c>
    </row>
    <row r="25" spans="2:14" x14ac:dyDescent="0.25">
      <c r="E25" s="215" t="s">
        <v>231</v>
      </c>
      <c r="G25" s="215" t="s">
        <v>228</v>
      </c>
    </row>
    <row r="26" spans="2:14" x14ac:dyDescent="0.25">
      <c r="E26" s="119">
        <f>Partida1_AdquisiciónInstalación!O18</f>
        <v>210549.5</v>
      </c>
      <c r="G26" s="119">
        <f>E23-E26</f>
        <v>246265</v>
      </c>
      <c r="J26" s="241" t="s">
        <v>229</v>
      </c>
      <c r="K26" s="242"/>
      <c r="L26" s="242"/>
      <c r="M26" s="242"/>
      <c r="N26" s="243"/>
    </row>
    <row r="27" spans="2:14" ht="15.75" x14ac:dyDescent="0.25">
      <c r="J27" s="208" t="s">
        <v>216</v>
      </c>
      <c r="K27" s="208" t="s">
        <v>221</v>
      </c>
      <c r="L27" s="208" t="s">
        <v>216</v>
      </c>
      <c r="M27" s="209" t="s">
        <v>67</v>
      </c>
      <c r="N27" s="209" t="s">
        <v>83</v>
      </c>
    </row>
    <row r="28" spans="2:14" ht="15.75" x14ac:dyDescent="0.25">
      <c r="E28" s="215" t="s">
        <v>227</v>
      </c>
      <c r="G28" s="215" t="s">
        <v>230</v>
      </c>
      <c r="J28" s="166" t="s">
        <v>85</v>
      </c>
      <c r="K28" s="163"/>
      <c r="L28" s="204" t="s">
        <v>217</v>
      </c>
      <c r="M28" s="119"/>
      <c r="N28" s="38">
        <f>N8</f>
        <v>318818.92846121045</v>
      </c>
    </row>
    <row r="29" spans="2:14" ht="15.75" x14ac:dyDescent="0.25">
      <c r="E29" s="119">
        <f>E23*0.25</f>
        <v>114203.625</v>
      </c>
      <c r="G29" s="207">
        <f>G23/G26</f>
        <v>0.47105201713601202</v>
      </c>
      <c r="J29" s="166" t="s">
        <v>94</v>
      </c>
      <c r="K29" s="163"/>
      <c r="L29" s="204" t="s">
        <v>146</v>
      </c>
      <c r="M29" s="119"/>
      <c r="N29" s="38">
        <f>N12</f>
        <v>244474.13472783382</v>
      </c>
    </row>
    <row r="30" spans="2:14" ht="15.75" x14ac:dyDescent="0.25">
      <c r="J30" s="166" t="s">
        <v>97</v>
      </c>
      <c r="K30" s="163"/>
      <c r="L30" s="204" t="s">
        <v>206</v>
      </c>
      <c r="M30" s="119"/>
      <c r="N30" s="38">
        <f>N20</f>
        <v>9525.0618109556781</v>
      </c>
    </row>
    <row r="31" spans="2:14" x14ac:dyDescent="0.25">
      <c r="E31" s="215" t="s">
        <v>238</v>
      </c>
    </row>
    <row r="32" spans="2:14" x14ac:dyDescent="0.25">
      <c r="E32" s="119">
        <f>Partida4_OtrosCostes!K8</f>
        <v>1800</v>
      </c>
      <c r="G32" s="206"/>
      <c r="J32" s="235" t="s">
        <v>226</v>
      </c>
      <c r="K32" s="236"/>
      <c r="L32" s="236"/>
      <c r="M32" s="237"/>
      <c r="N32" s="179">
        <f>SUM(N28,N29,N30)</f>
        <v>572818.12499999988</v>
      </c>
    </row>
  </sheetData>
  <mergeCells count="5">
    <mergeCell ref="J24:M24"/>
    <mergeCell ref="J6:N6"/>
    <mergeCell ref="J26:N26"/>
    <mergeCell ref="J32:M32"/>
    <mergeCell ref="D4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0AE6DB606576428B8651DA8CF48470" ma:contentTypeVersion="2" ma:contentTypeDescription="Crear nuevo documento." ma:contentTypeScope="" ma:versionID="086b7b7f4f560bd22be9a1714b717774">
  <xsd:schema xmlns:xsd="http://www.w3.org/2001/XMLSchema" xmlns:xs="http://www.w3.org/2001/XMLSchema" xmlns:p="http://schemas.microsoft.com/office/2006/metadata/properties" xmlns:ns2="8c6e9707-1289-4d3f-a3fb-39591d3243ff" targetNamespace="http://schemas.microsoft.com/office/2006/metadata/properties" ma:root="true" ma:fieldsID="5f82e149d16b4f660eaf1134f1a8e10f" ns2:_="">
    <xsd:import namespace="8c6e9707-1289-4d3f-a3fb-39591d3243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6e9707-1289-4d3f-a3fb-39591d3243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C4E1A8-B1DE-40C7-AD17-5FA6BE2C5F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4A852-BB06-46BC-9C07-9AB8D1B74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6e9707-1289-4d3f-a3fb-39591d3243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73F09E-5BF1-4163-8640-175699ACD94F}">
  <ds:schemaRefs>
    <ds:schemaRef ds:uri="http://www.w3.org/XML/1998/namespace"/>
    <ds:schemaRef ds:uri="http://purl.org/dc/elements/1.1/"/>
    <ds:schemaRef ds:uri="http://purl.org/dc/terms/"/>
    <ds:schemaRef ds:uri="http://purl.org/dc/dcmitype/"/>
    <ds:schemaRef ds:uri="8c6e9707-1289-4d3f-a3fb-39591d3243ff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Personal_Empresa</vt:lpstr>
      <vt:lpstr>Costes_Med_Produccion_E_Indirec</vt:lpstr>
      <vt:lpstr>Resumen_Def_Empresa</vt:lpstr>
      <vt:lpstr>Partida1_AdquisiciónInstalación</vt:lpstr>
      <vt:lpstr>Partida2_Desarrollo</vt:lpstr>
      <vt:lpstr>Partida3_Formacion</vt:lpstr>
      <vt:lpstr>Partida4_OtrosCostes</vt:lpstr>
      <vt:lpstr>Presupuesto_Costes_Agregado</vt:lpstr>
      <vt:lpstr>Presupuesto_Cliente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2021-04-19T18:52:14Z</dcterms:created>
  <dcterms:modified xsi:type="dcterms:W3CDTF">2021-11-02T16:32:20Z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0x010100160AE6DB606576428B8651DA8CF48470</vt:lpwstr>
  </property>
</Properties>
</file>