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lex\OneDrive\Documents\Data Analytics portfolio projects\Excel\"/>
    </mc:Choice>
  </mc:AlternateContent>
  <xr:revisionPtr revIDLastSave="0" documentId="13_ncr:1_{D1DFC804-DEEF-4853-859D-7FA8687C8EAA}" xr6:coauthVersionLast="47" xr6:coauthVersionMax="47" xr10:uidLastSave="{00000000-0000-0000-0000-000000000000}"/>
  <bookViews>
    <workbookView xWindow="-120" yWindow="-120" windowWidth="29040" windowHeight="15720" xr2:uid="{5C80E3C1-5097-49F6-9D2F-DE2E2FD92D98}"/>
  </bookViews>
  <sheets>
    <sheet name="DCF and EVA Valuation" sheetId="1" r:id="rId1"/>
    <sheet name="Debt Ratio history" sheetId="2" r:id="rId2"/>
    <sheet name="Bankruptcy risk" sheetId="7" r:id="rId3"/>
    <sheet name="Beta regression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D52" i="1"/>
  <c r="D36" i="1"/>
  <c r="M33" i="7"/>
  <c r="M36" i="7" s="1"/>
  <c r="M146" i="1"/>
  <c r="L146" i="1"/>
  <c r="K146" i="1"/>
  <c r="J146" i="1"/>
  <c r="I146" i="1"/>
  <c r="H146" i="1"/>
  <c r="G146" i="1"/>
  <c r="F146" i="1"/>
  <c r="E146" i="1"/>
  <c r="D146" i="1"/>
  <c r="N14" i="1"/>
  <c r="N17" i="1" s="1"/>
  <c r="S14" i="1"/>
  <c r="D92" i="1"/>
  <c r="D91" i="1"/>
  <c r="D93" i="1" s="1"/>
  <c r="O111" i="1"/>
  <c r="N111" i="1"/>
  <c r="M112" i="1"/>
  <c r="L112" i="1"/>
  <c r="K112" i="1"/>
  <c r="J112" i="1"/>
  <c r="I112" i="1"/>
  <c r="H112" i="1"/>
  <c r="G112" i="1"/>
  <c r="F112" i="1"/>
  <c r="E112" i="1"/>
  <c r="D112" i="1"/>
  <c r="M30" i="1"/>
  <c r="L30" i="1"/>
  <c r="K30" i="1"/>
  <c r="J30" i="1"/>
  <c r="I30" i="1"/>
  <c r="H30" i="1"/>
  <c r="G30" i="1"/>
  <c r="F30" i="1"/>
  <c r="E30" i="1"/>
  <c r="S23" i="1"/>
  <c r="R23" i="1"/>
  <c r="Q23" i="1"/>
  <c r="P23" i="1"/>
  <c r="O23" i="1"/>
  <c r="N23" i="1"/>
  <c r="N22" i="1" s="1"/>
  <c r="O14" i="1"/>
  <c r="P14" i="1"/>
  <c r="Q14" i="1"/>
  <c r="R14" i="1"/>
  <c r="S76" i="1"/>
  <c r="R76" i="1"/>
  <c r="Q76" i="1"/>
  <c r="P76" i="1"/>
  <c r="O76" i="1"/>
  <c r="N76" i="1"/>
  <c r="D51" i="1"/>
  <c r="D35" i="1"/>
  <c r="S59" i="1"/>
  <c r="R59" i="1"/>
  <c r="Q59" i="1"/>
  <c r="P59" i="1"/>
  <c r="O59" i="1"/>
  <c r="N59" i="1"/>
  <c r="S21" i="1"/>
  <c r="R21" i="1"/>
  <c r="Q21" i="1"/>
  <c r="P21" i="1"/>
  <c r="O21" i="1"/>
  <c r="N21" i="1"/>
  <c r="S19" i="1"/>
  <c r="R19" i="1"/>
  <c r="Q19" i="1"/>
  <c r="P19" i="1"/>
  <c r="O19" i="1"/>
  <c r="N19" i="1"/>
  <c r="M21" i="1"/>
  <c r="L21" i="1"/>
  <c r="K21" i="1"/>
  <c r="J21" i="1"/>
  <c r="I21" i="1"/>
  <c r="H21" i="1"/>
  <c r="G21" i="1"/>
  <c r="F21" i="1"/>
  <c r="E21" i="1"/>
  <c r="D21" i="1"/>
  <c r="M23" i="1"/>
  <c r="L23" i="1"/>
  <c r="K23" i="1"/>
  <c r="J23" i="1"/>
  <c r="I23" i="1"/>
  <c r="H23" i="1"/>
  <c r="G23" i="1"/>
  <c r="F23" i="1"/>
  <c r="E23" i="1"/>
  <c r="M24" i="1"/>
  <c r="M154" i="1" s="1"/>
  <c r="M155" i="1" s="1"/>
  <c r="L24" i="1"/>
  <c r="L154" i="1" s="1"/>
  <c r="K24" i="1"/>
  <c r="K149" i="1" s="1"/>
  <c r="J24" i="1"/>
  <c r="J154" i="1" s="1"/>
  <c r="I24" i="1"/>
  <c r="I154" i="1" s="1"/>
  <c r="H24" i="1"/>
  <c r="H154" i="1" s="1"/>
  <c r="G24" i="1"/>
  <c r="G149" i="1" s="1"/>
  <c r="F24" i="1"/>
  <c r="F154" i="1" s="1"/>
  <c r="E24" i="1"/>
  <c r="E154" i="1" s="1"/>
  <c r="E155" i="1" s="1"/>
  <c r="D24" i="1"/>
  <c r="D154" i="1" s="1"/>
  <c r="M59" i="1"/>
  <c r="L59" i="1"/>
  <c r="K59" i="1"/>
  <c r="J59" i="1"/>
  <c r="I59" i="1"/>
  <c r="H59" i="1"/>
  <c r="G59" i="1"/>
  <c r="F59" i="1"/>
  <c r="E59" i="1"/>
  <c r="M73" i="1"/>
  <c r="L73" i="1"/>
  <c r="K73" i="1"/>
  <c r="J73" i="1"/>
  <c r="I73" i="1"/>
  <c r="H73" i="1"/>
  <c r="G73" i="1"/>
  <c r="F73" i="1"/>
  <c r="E73" i="1"/>
  <c r="D73" i="1"/>
  <c r="M114" i="1"/>
  <c r="L114" i="1"/>
  <c r="K114" i="1"/>
  <c r="J114" i="1"/>
  <c r="I114" i="1"/>
  <c r="H114" i="1"/>
  <c r="G114" i="1"/>
  <c r="F114" i="1"/>
  <c r="E114" i="1"/>
  <c r="M113" i="1"/>
  <c r="L113" i="1"/>
  <c r="K113" i="1"/>
  <c r="J113" i="1"/>
  <c r="I113" i="1"/>
  <c r="H113" i="1"/>
  <c r="G113" i="1"/>
  <c r="F113" i="1"/>
  <c r="E113" i="1"/>
  <c r="D114" i="1"/>
  <c r="D113" i="1"/>
  <c r="M66" i="1"/>
  <c r="M136" i="1" s="1"/>
  <c r="L66" i="1"/>
  <c r="L136" i="1" s="1"/>
  <c r="K66" i="1"/>
  <c r="K136" i="1" s="1"/>
  <c r="J66" i="1"/>
  <c r="J136" i="1" s="1"/>
  <c r="I66" i="1"/>
  <c r="I136" i="1" s="1"/>
  <c r="H66" i="1"/>
  <c r="H136" i="1" s="1"/>
  <c r="G66" i="1"/>
  <c r="G136" i="1" s="1"/>
  <c r="F66" i="1"/>
  <c r="F136" i="1" s="1"/>
  <c r="E66" i="1"/>
  <c r="E136" i="1" s="1"/>
  <c r="D66" i="1"/>
  <c r="D136" i="1" s="1"/>
  <c r="M107" i="1"/>
  <c r="L107" i="1"/>
  <c r="K107" i="1"/>
  <c r="J107" i="1"/>
  <c r="I107" i="1"/>
  <c r="H107" i="1"/>
  <c r="G107" i="1"/>
  <c r="F107" i="1"/>
  <c r="E107" i="1"/>
  <c r="M106" i="1"/>
  <c r="L106" i="1"/>
  <c r="K106" i="1"/>
  <c r="J106" i="1"/>
  <c r="I106" i="1"/>
  <c r="H106" i="1"/>
  <c r="G106" i="1"/>
  <c r="F106" i="1"/>
  <c r="E106" i="1"/>
  <c r="M105" i="1"/>
  <c r="L105" i="1"/>
  <c r="K105" i="1"/>
  <c r="J105" i="1"/>
  <c r="I105" i="1"/>
  <c r="H105" i="1"/>
  <c r="G105" i="1"/>
  <c r="F105" i="1"/>
  <c r="E105" i="1"/>
  <c r="D19" i="1"/>
  <c r="M19" i="1"/>
  <c r="L19" i="1"/>
  <c r="K19" i="1"/>
  <c r="J19" i="1"/>
  <c r="I19" i="1"/>
  <c r="H19" i="1"/>
  <c r="G19" i="1"/>
  <c r="F19" i="1"/>
  <c r="E19" i="1"/>
  <c r="D88" i="1"/>
  <c r="D90" i="1" s="1"/>
  <c r="P4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D1" i="2"/>
  <c r="O4" i="2"/>
  <c r="N4" i="2"/>
  <c r="M4" i="2"/>
  <c r="L4" i="2"/>
  <c r="K4" i="2"/>
  <c r="J4" i="2"/>
  <c r="I4" i="2"/>
  <c r="H4" i="2"/>
  <c r="G4" i="2"/>
  <c r="F4" i="2"/>
  <c r="E4" i="2"/>
  <c r="D4" i="2"/>
  <c r="C4" i="2"/>
  <c r="F155" i="1" l="1"/>
  <c r="J155" i="1"/>
  <c r="D155" i="1"/>
  <c r="L155" i="1"/>
  <c r="H155" i="1"/>
  <c r="I155" i="1"/>
  <c r="J149" i="1"/>
  <c r="F149" i="1"/>
  <c r="M149" i="1"/>
  <c r="E149" i="1"/>
  <c r="K154" i="1"/>
  <c r="K155" i="1" s="1"/>
  <c r="D149" i="1"/>
  <c r="L149" i="1"/>
  <c r="I149" i="1"/>
  <c r="G154" i="1"/>
  <c r="G155" i="1" s="1"/>
  <c r="H149" i="1"/>
  <c r="N112" i="1"/>
  <c r="O113" i="1"/>
  <c r="O114" i="1"/>
  <c r="N113" i="1"/>
  <c r="N114" i="1"/>
  <c r="O17" i="1"/>
  <c r="N20" i="1"/>
  <c r="N75" i="1"/>
  <c r="E67" i="1"/>
  <c r="M67" i="1"/>
  <c r="F67" i="1"/>
  <c r="L67" i="1"/>
  <c r="D67" i="1"/>
  <c r="G67" i="1"/>
  <c r="H67" i="1"/>
  <c r="I67" i="1"/>
  <c r="J67" i="1"/>
  <c r="I75" i="1"/>
  <c r="K67" i="1"/>
  <c r="E75" i="1"/>
  <c r="K75" i="1"/>
  <c r="M75" i="1"/>
  <c r="D75" i="1"/>
  <c r="L75" i="1"/>
  <c r="F75" i="1"/>
  <c r="K115" i="1"/>
  <c r="G75" i="1"/>
  <c r="H75" i="1"/>
  <c r="N18" i="1"/>
  <c r="J75" i="1"/>
  <c r="D115" i="1"/>
  <c r="F115" i="1"/>
  <c r="L115" i="1"/>
  <c r="F108" i="1"/>
  <c r="I115" i="1"/>
  <c r="J115" i="1"/>
  <c r="E115" i="1"/>
  <c r="M115" i="1"/>
  <c r="G115" i="1"/>
  <c r="H115" i="1"/>
  <c r="E108" i="1"/>
  <c r="M108" i="1"/>
  <c r="D27" i="1"/>
  <c r="D28" i="1" s="1"/>
  <c r="D148" i="1" s="1"/>
  <c r="J108" i="1"/>
  <c r="I108" i="1"/>
  <c r="K108" i="1"/>
  <c r="L108" i="1"/>
  <c r="G108" i="1"/>
  <c r="H108" i="1"/>
  <c r="L27" i="1"/>
  <c r="L28" i="1" s="1"/>
  <c r="L148" i="1" s="1"/>
  <c r="E27" i="1"/>
  <c r="E28" i="1" s="1"/>
  <c r="E148" i="1" s="1"/>
  <c r="M27" i="1"/>
  <c r="M28" i="1" s="1"/>
  <c r="M148" i="1" s="1"/>
  <c r="F27" i="1"/>
  <c r="F28" i="1" s="1"/>
  <c r="F148" i="1" s="1"/>
  <c r="G27" i="1"/>
  <c r="G28" i="1" s="1"/>
  <c r="G148" i="1" s="1"/>
  <c r="J27" i="1"/>
  <c r="J28" i="1" s="1"/>
  <c r="J148" i="1" s="1"/>
  <c r="K27" i="1"/>
  <c r="K28" i="1" s="1"/>
  <c r="K148" i="1" s="1"/>
  <c r="D94" i="1"/>
  <c r="E92" i="1" l="1"/>
  <c r="E93" i="1" s="1"/>
  <c r="D83" i="1" s="1"/>
  <c r="N29" i="1"/>
  <c r="P17" i="1"/>
  <c r="P18" i="1" s="1"/>
  <c r="O112" i="1"/>
  <c r="E117" i="1" s="1"/>
  <c r="O115" i="1"/>
  <c r="N115" i="1"/>
  <c r="F119" i="1"/>
  <c r="J118" i="1"/>
  <c r="G118" i="1"/>
  <c r="I118" i="1"/>
  <c r="M118" i="1"/>
  <c r="H119" i="1"/>
  <c r="K118" i="1"/>
  <c r="D119" i="1"/>
  <c r="J119" i="1"/>
  <c r="G119" i="1"/>
  <c r="H118" i="1"/>
  <c r="L119" i="1"/>
  <c r="M119" i="1"/>
  <c r="E118" i="1"/>
  <c r="I119" i="1"/>
  <c r="E119" i="1"/>
  <c r="D118" i="1"/>
  <c r="F118" i="1"/>
  <c r="K119" i="1"/>
  <c r="L118" i="1"/>
  <c r="M42" i="1"/>
  <c r="F42" i="1"/>
  <c r="E42" i="1"/>
  <c r="L42" i="1"/>
  <c r="G42" i="1"/>
  <c r="K42" i="1"/>
  <c r="J42" i="1"/>
  <c r="N58" i="1"/>
  <c r="O20" i="1"/>
  <c r="O18" i="1"/>
  <c r="N24" i="1"/>
  <c r="H27" i="1"/>
  <c r="H28" i="1" s="1"/>
  <c r="H148" i="1" s="1"/>
  <c r="I27" i="1"/>
  <c r="I28" i="1" s="1"/>
  <c r="I148" i="1" s="1"/>
  <c r="F29" i="1"/>
  <c r="J29" i="1"/>
  <c r="O75" i="1"/>
  <c r="G29" i="1"/>
  <c r="M29" i="1"/>
  <c r="H29" i="1"/>
  <c r="K29" i="1"/>
  <c r="E29" i="1"/>
  <c r="L29" i="1"/>
  <c r="I29" i="1"/>
  <c r="M77" i="1"/>
  <c r="F77" i="1"/>
  <c r="G76" i="1"/>
  <c r="I77" i="1"/>
  <c r="J76" i="1"/>
  <c r="D77" i="1"/>
  <c r="E76" i="1"/>
  <c r="H77" i="1"/>
  <c r="I76" i="1"/>
  <c r="J77" i="1"/>
  <c r="K76" i="1"/>
  <c r="E77" i="1"/>
  <c r="F76" i="1"/>
  <c r="L77" i="1"/>
  <c r="M76" i="1"/>
  <c r="G77" i="1"/>
  <c r="H76" i="1"/>
  <c r="K77" i="1"/>
  <c r="L76" i="1"/>
  <c r="D49" i="1" l="1"/>
  <c r="F117" i="1"/>
  <c r="H117" i="1"/>
  <c r="M117" i="1"/>
  <c r="G117" i="1"/>
  <c r="D117" i="1"/>
  <c r="P20" i="1"/>
  <c r="L117" i="1"/>
  <c r="J117" i="1"/>
  <c r="Q17" i="1"/>
  <c r="I117" i="1"/>
  <c r="K117" i="1"/>
  <c r="O58" i="1"/>
  <c r="P22" i="1" s="1"/>
  <c r="G120" i="1"/>
  <c r="N30" i="1"/>
  <c r="O22" i="1"/>
  <c r="O24" i="1" s="1"/>
  <c r="J120" i="1"/>
  <c r="I120" i="1"/>
  <c r="M120" i="1"/>
  <c r="L120" i="1"/>
  <c r="K120" i="1"/>
  <c r="F120" i="1"/>
  <c r="E120" i="1"/>
  <c r="D120" i="1"/>
  <c r="H120" i="1"/>
  <c r="L31" i="1"/>
  <c r="G31" i="1"/>
  <c r="M31" i="1"/>
  <c r="J31" i="1"/>
  <c r="E31" i="1"/>
  <c r="F31" i="1"/>
  <c r="K31" i="1"/>
  <c r="H31" i="1"/>
  <c r="H42" i="1"/>
  <c r="I31" i="1"/>
  <c r="I42" i="1"/>
  <c r="N77" i="1"/>
  <c r="N27" i="1"/>
  <c r="N28" i="1" s="1"/>
  <c r="P75" i="1"/>
  <c r="O29" i="1"/>
  <c r="N43" i="1"/>
  <c r="L43" i="1"/>
  <c r="L44" i="1" s="1"/>
  <c r="L45" i="1" s="1"/>
  <c r="J43" i="1"/>
  <c r="J44" i="1" s="1"/>
  <c r="J45" i="1" s="1"/>
  <c r="F43" i="1"/>
  <c r="F44" i="1" s="1"/>
  <c r="H43" i="1"/>
  <c r="K43" i="1"/>
  <c r="K44" i="1" s="1"/>
  <c r="K45" i="1" s="1"/>
  <c r="E43" i="1"/>
  <c r="E44" i="1" s="1"/>
  <c r="G43" i="1"/>
  <c r="G44" i="1" s="1"/>
  <c r="G45" i="1" s="1"/>
  <c r="I43" i="1"/>
  <c r="M43" i="1"/>
  <c r="M44" i="1" s="1"/>
  <c r="M45" i="1" s="1"/>
  <c r="H44" i="1" l="1"/>
  <c r="H45" i="1" s="1"/>
  <c r="I44" i="1"/>
  <c r="I45" i="1" s="1"/>
  <c r="O43" i="1"/>
  <c r="Q75" i="1"/>
  <c r="Q29" i="1" s="1"/>
  <c r="Q18" i="1"/>
  <c r="P24" i="1"/>
  <c r="R17" i="1"/>
  <c r="Q58" i="1" s="1"/>
  <c r="R22" i="1" s="1"/>
  <c r="Q20" i="1"/>
  <c r="P58" i="1"/>
  <c r="P30" i="1" s="1"/>
  <c r="O77" i="1"/>
  <c r="O27" i="1"/>
  <c r="O42" i="1" s="1"/>
  <c r="O30" i="1"/>
  <c r="N31" i="1"/>
  <c r="N33" i="1" s="1"/>
  <c r="N42" i="1"/>
  <c r="N44" i="1" s="1"/>
  <c r="N45" i="1" s="1"/>
  <c r="P29" i="1"/>
  <c r="S17" i="1"/>
  <c r="T17" i="1" s="1"/>
  <c r="O44" i="1" l="1"/>
  <c r="P43" i="1"/>
  <c r="R75" i="1"/>
  <c r="R29" i="1" s="1"/>
  <c r="R20" i="1"/>
  <c r="Q22" i="1"/>
  <c r="Q24" i="1" s="1"/>
  <c r="R18" i="1"/>
  <c r="P27" i="1"/>
  <c r="P28" i="1" s="1"/>
  <c r="P31" i="1" s="1"/>
  <c r="P33" i="1" s="1"/>
  <c r="Q77" i="1"/>
  <c r="P77" i="1"/>
  <c r="O28" i="1"/>
  <c r="O31" i="1" s="1"/>
  <c r="O33" i="1" s="1"/>
  <c r="N47" i="1"/>
  <c r="S58" i="1"/>
  <c r="R58" i="1"/>
  <c r="S20" i="1"/>
  <c r="S75" i="1"/>
  <c r="S18" i="1"/>
  <c r="O47" i="1" l="1"/>
  <c r="O45" i="1"/>
  <c r="R24" i="1"/>
  <c r="R27" i="1" s="1"/>
  <c r="R28" i="1" s="1"/>
  <c r="S29" i="1"/>
  <c r="Q30" i="1"/>
  <c r="R43" i="1"/>
  <c r="Q43" i="1"/>
  <c r="P42" i="1"/>
  <c r="P44" i="1" s="1"/>
  <c r="Q27" i="1"/>
  <c r="Q28" i="1" s="1"/>
  <c r="R30" i="1"/>
  <c r="S22" i="1"/>
  <c r="S30" i="1" s="1"/>
  <c r="R77" i="1"/>
  <c r="S77" i="1"/>
  <c r="P47" i="1" l="1"/>
  <c r="P45" i="1"/>
  <c r="Q31" i="1"/>
  <c r="Q33" i="1" s="1"/>
  <c r="S43" i="1"/>
  <c r="Q42" i="1"/>
  <c r="Q44" i="1" s="1"/>
  <c r="S24" i="1"/>
  <c r="S27" i="1" s="1"/>
  <c r="S28" i="1" s="1"/>
  <c r="R42" i="1"/>
  <c r="R44" i="1" s="1"/>
  <c r="R45" i="1" s="1"/>
  <c r="R31" i="1"/>
  <c r="Q47" i="1" l="1"/>
  <c r="Q45" i="1"/>
  <c r="S42" i="1"/>
  <c r="S44" i="1" s="1"/>
  <c r="S45" i="1" s="1"/>
  <c r="S31" i="1"/>
  <c r="R32" i="1" l="1"/>
  <c r="R33" i="1" s="1"/>
  <c r="D34" i="1" s="1"/>
  <c r="R46" i="1"/>
  <c r="R47" i="1" s="1"/>
  <c r="D48" i="1" s="1"/>
  <c r="D50" i="1" s="1"/>
  <c r="D37" i="1" l="1"/>
  <c r="D38" i="1" s="1"/>
  <c r="D53" i="1"/>
  <c r="D54" i="1" s="1"/>
</calcChain>
</file>

<file path=xl/sharedStrings.xml><?xml version="1.0" encoding="utf-8"?>
<sst xmlns="http://schemas.openxmlformats.org/spreadsheetml/2006/main" count="135" uniqueCount="115">
  <si>
    <t>Revenue</t>
  </si>
  <si>
    <t>COGS</t>
  </si>
  <si>
    <t>EBIT</t>
  </si>
  <si>
    <t>Elanders Valation</t>
  </si>
  <si>
    <t>1,590.4</t>
  </si>
  <si>
    <t>Total Debt</t>
  </si>
  <si>
    <t>Total Capital</t>
  </si>
  <si>
    <t>Debt Ratio</t>
  </si>
  <si>
    <t>Cost of Debt</t>
  </si>
  <si>
    <t>Elanders</t>
  </si>
  <si>
    <t>Adj Close</t>
  </si>
  <si>
    <t>VOO</t>
  </si>
  <si>
    <t>Beta</t>
  </si>
  <si>
    <t>ELAN</t>
  </si>
  <si>
    <t>Risk free rate</t>
  </si>
  <si>
    <t>Equity risk premium</t>
  </si>
  <si>
    <t>Currency:</t>
  </si>
  <si>
    <t>Net PPE</t>
  </si>
  <si>
    <t>Cash &amp; Equiv</t>
  </si>
  <si>
    <t>Cost of Equity</t>
  </si>
  <si>
    <t>Effective tax rate</t>
  </si>
  <si>
    <t>Terminal</t>
  </si>
  <si>
    <t>Market value Equity</t>
  </si>
  <si>
    <t># shares outstanding</t>
  </si>
  <si>
    <t>Market value per share</t>
  </si>
  <si>
    <t>WACC</t>
  </si>
  <si>
    <t>Tax Rate</t>
  </si>
  <si>
    <t>NOPAT</t>
  </si>
  <si>
    <t>Inventory</t>
  </si>
  <si>
    <t>Total Current Assets</t>
  </si>
  <si>
    <t>Accounts Payable</t>
  </si>
  <si>
    <t>Total Current Liabilities</t>
  </si>
  <si>
    <t>Inventory Conversion period</t>
  </si>
  <si>
    <t>Avg collections period</t>
  </si>
  <si>
    <t>Payables defferal period</t>
  </si>
  <si>
    <t>prepaid Expenses</t>
  </si>
  <si>
    <t>Other Current Assets</t>
  </si>
  <si>
    <t>Accounts Receivables</t>
  </si>
  <si>
    <t>Avg cash conversion cycle</t>
  </si>
  <si>
    <t xml:space="preserve">Other receivables </t>
  </si>
  <si>
    <t>Total Assets</t>
  </si>
  <si>
    <t>Net Income</t>
  </si>
  <si>
    <t>ROE</t>
  </si>
  <si>
    <t>Total asset turnover</t>
  </si>
  <si>
    <t>Leverage factor</t>
  </si>
  <si>
    <t>Profit margin</t>
  </si>
  <si>
    <t>Total Liabilities</t>
  </si>
  <si>
    <t>DuPont Analysis</t>
  </si>
  <si>
    <r>
      <t xml:space="preserve">SEK </t>
    </r>
    <r>
      <rPr>
        <i/>
        <sz val="11"/>
        <color theme="1"/>
        <rFont val="Aptos Narrow"/>
        <family val="2"/>
        <scheme val="minor"/>
      </rPr>
      <t>(in millions)</t>
    </r>
  </si>
  <si>
    <t>Capital Charge</t>
  </si>
  <si>
    <t>Net working capital</t>
  </si>
  <si>
    <t>Economic profit</t>
  </si>
  <si>
    <t>Operating capital</t>
  </si>
  <si>
    <t>Terminal value</t>
  </si>
  <si>
    <t>Figures to discount</t>
  </si>
  <si>
    <t>NPV</t>
  </si>
  <si>
    <t>EVA</t>
  </si>
  <si>
    <t>Depreciation</t>
  </si>
  <si>
    <t>OCF</t>
  </si>
  <si>
    <r>
      <rPr>
        <sz val="11"/>
        <color theme="1"/>
        <rFont val="Calibri"/>
        <family val="2"/>
      </rPr>
      <t>Δ</t>
    </r>
    <r>
      <rPr>
        <sz val="11"/>
        <color theme="1"/>
        <rFont val="Aptos Narrow"/>
        <family val="2"/>
      </rPr>
      <t>NWC</t>
    </r>
  </si>
  <si>
    <t>CapEx</t>
  </si>
  <si>
    <t>FCFF</t>
  </si>
  <si>
    <t>Terminal Value</t>
  </si>
  <si>
    <t>revenue growth</t>
  </si>
  <si>
    <t>terminal growth rate</t>
  </si>
  <si>
    <t>SG&amp;A / Sales</t>
  </si>
  <si>
    <t>COGS / Sales</t>
  </si>
  <si>
    <t>Depr / PPE</t>
  </si>
  <si>
    <t>PPE / Sales</t>
  </si>
  <si>
    <t>Firm value</t>
  </si>
  <si>
    <t>Equity Value</t>
  </si>
  <si>
    <t>LT debt</t>
  </si>
  <si>
    <t>Assumptions</t>
  </si>
  <si>
    <t>DCF Analysis</t>
  </si>
  <si>
    <t>EVA Analysis</t>
  </si>
  <si>
    <t>Intrinsic Value</t>
  </si>
  <si>
    <t>NWC / Sales</t>
  </si>
  <si>
    <t>average</t>
  </si>
  <si>
    <t>std dev</t>
  </si>
  <si>
    <t>X</t>
  </si>
  <si>
    <t>Balance Sheet Items</t>
  </si>
  <si>
    <t>WACC Calculation</t>
  </si>
  <si>
    <t>Ratio Analysis</t>
  </si>
  <si>
    <t>Normalized profit margin</t>
  </si>
  <si>
    <t>Normalized asset turnover</t>
  </si>
  <si>
    <t>Normalized leverage factor</t>
  </si>
  <si>
    <t>Normalized ROE</t>
  </si>
  <si>
    <t>Current Asset Investment Policy</t>
  </si>
  <si>
    <t>relaxed, moving more towards moderate</t>
  </si>
  <si>
    <t>The company wants to become more lean</t>
  </si>
  <si>
    <t>(current asset turnover)</t>
  </si>
  <si>
    <t>SG&amp;A  + Otherv (Inc. currency Translation</t>
  </si>
  <si>
    <t>interest expense</t>
  </si>
  <si>
    <t>debt repaid</t>
  </si>
  <si>
    <t>Interest Coverage ratio</t>
  </si>
  <si>
    <t>EBITDA</t>
  </si>
  <si>
    <t>Debt-service coverage ratio</t>
  </si>
  <si>
    <t>https://pages.stern.nyu.edu/~adamodar/pdfiles/uValue/uValuebook.pdf</t>
  </si>
  <si>
    <t>Damodaran pp. 225</t>
  </si>
  <si>
    <t>interest coverage ~</t>
  </si>
  <si>
    <t>B+</t>
  </si>
  <si>
    <t>chance of default</t>
  </si>
  <si>
    <t>default cost % of FV</t>
  </si>
  <si>
    <t>number of shares</t>
  </si>
  <si>
    <t>cost per share</t>
  </si>
  <si>
    <t>Bankruptcy risk cost</t>
  </si>
  <si>
    <t>Cost of bankruptcy risk</t>
  </si>
  <si>
    <t>Are operations creating or destroying economic value</t>
  </si>
  <si>
    <t xml:space="preserve">      but destroy economic value</t>
  </si>
  <si>
    <t>Excess Return on invested capital</t>
  </si>
  <si>
    <t xml:space="preserve"> -- Management making good investment decisions</t>
  </si>
  <si>
    <r>
      <t xml:space="preserve"> -- </t>
    </r>
    <r>
      <rPr>
        <u/>
        <sz val="11"/>
        <color theme="1"/>
        <rFont val="Aptos Narrow"/>
        <family val="2"/>
        <scheme val="minor"/>
      </rPr>
      <t>Healthy</t>
    </r>
    <r>
      <rPr>
        <sz val="11"/>
        <color theme="1"/>
        <rFont val="Aptos Narrow"/>
        <family val="2"/>
        <scheme val="minor"/>
      </rPr>
      <t xml:space="preserve"> growth that creates value</t>
    </r>
  </si>
  <si>
    <t xml:space="preserve"> -- Possible to have positive cashflow</t>
  </si>
  <si>
    <t>Is Cash In &gt; Cash Out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</si>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</sst>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%"/>
    <numFmt numFmtId="166" formatCode="#,##0.0"/>
    <numFmt numFmtId="167" formatCode="_(* #,##0.0_);_(* \(#,##0.0\);_(* &quot;-&quot;??_);_(@_)"/>
    <numFmt numFmtId="168" formatCode="_(* #,##0_);_(* \(#,##0\);_(* &quot;-&quot;??_);_(@_)"/>
    <numFmt numFmtId="169" formatCode="0.0"/>
    <numFmt numFmtId="170" formatCode="&quot;$&quot;#,##0.0_);[Red]\(&quot;$&quot;#,##0.0\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24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5" tint="0.59999389629810485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4" fontId="0" fillId="0" borderId="0" xfId="0" applyNumberFormat="1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9" fontId="0" fillId="0" borderId="0" xfId="2" applyFont="1"/>
    <xf numFmtId="10" fontId="6" fillId="0" borderId="0" xfId="0" applyNumberFormat="1" applyFont="1"/>
    <xf numFmtId="14" fontId="0" fillId="0" borderId="0" xfId="0" applyNumberFormat="1"/>
    <xf numFmtId="164" fontId="7" fillId="0" borderId="0" xfId="0" applyNumberFormat="1" applyFont="1"/>
    <xf numFmtId="165" fontId="0" fillId="0" borderId="0" xfId="2" applyNumberFormat="1" applyFont="1"/>
    <xf numFmtId="166" fontId="0" fillId="0" borderId="0" xfId="0" applyNumberFormat="1"/>
    <xf numFmtId="3" fontId="0" fillId="0" borderId="0" xfId="0" applyNumberFormat="1"/>
    <xf numFmtId="1" fontId="0" fillId="0" borderId="0" xfId="0" applyNumberFormat="1"/>
    <xf numFmtId="3" fontId="6" fillId="0" borderId="0" xfId="0" applyNumberFormat="1" applyFont="1"/>
    <xf numFmtId="1" fontId="6" fillId="0" borderId="0" xfId="0" applyNumberFormat="1" applyFont="1"/>
    <xf numFmtId="9" fontId="6" fillId="0" borderId="0" xfId="2" applyFont="1"/>
    <xf numFmtId="9" fontId="0" fillId="0" borderId="0" xfId="0" applyNumberFormat="1"/>
    <xf numFmtId="43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43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8" fillId="0" borderId="0" xfId="0" applyNumberFormat="1" applyFont="1"/>
    <xf numFmtId="168" fontId="0" fillId="0" borderId="0" xfId="0" applyNumberFormat="1"/>
    <xf numFmtId="3" fontId="8" fillId="0" borderId="0" xfId="0" applyNumberFormat="1" applyFont="1"/>
    <xf numFmtId="169" fontId="0" fillId="0" borderId="0" xfId="0" applyNumberFormat="1"/>
    <xf numFmtId="167" fontId="0" fillId="0" borderId="0" xfId="0" applyNumberFormat="1"/>
    <xf numFmtId="9" fontId="10" fillId="0" borderId="0" xfId="0" applyNumberFormat="1" applyFont="1"/>
    <xf numFmtId="169" fontId="8" fillId="0" borderId="0" xfId="0" applyNumberFormat="1" applyFont="1"/>
    <xf numFmtId="9" fontId="8" fillId="0" borderId="0" xfId="2" applyFont="1"/>
    <xf numFmtId="169" fontId="6" fillId="0" borderId="0" xfId="0" applyNumberFormat="1" applyFont="1"/>
    <xf numFmtId="8" fontId="0" fillId="0" borderId="0" xfId="0" applyNumberFormat="1"/>
    <xf numFmtId="0" fontId="4" fillId="0" borderId="0" xfId="0" applyFont="1"/>
    <xf numFmtId="8" fontId="6" fillId="0" borderId="0" xfId="0" applyNumberFormat="1" applyFont="1"/>
    <xf numFmtId="8" fontId="8" fillId="0" borderId="0" xfId="0" applyNumberFormat="1" applyFont="1"/>
    <xf numFmtId="166" fontId="6" fillId="0" borderId="0" xfId="0" applyNumberFormat="1" applyFont="1"/>
    <xf numFmtId="166" fontId="0" fillId="0" borderId="0" xfId="1" applyNumberFormat="1" applyFont="1"/>
    <xf numFmtId="165" fontId="10" fillId="0" borderId="0" xfId="0" applyNumberFormat="1" applyFont="1"/>
    <xf numFmtId="167" fontId="0" fillId="0" borderId="1" xfId="1" applyNumberFormat="1" applyFont="1" applyBorder="1"/>
    <xf numFmtId="170" fontId="0" fillId="0" borderId="0" xfId="0" applyNumberFormat="1"/>
    <xf numFmtId="170" fontId="6" fillId="0" borderId="0" xfId="0" applyNumberFormat="1" applyFont="1"/>
    <xf numFmtId="170" fontId="8" fillId="0" borderId="0" xfId="0" applyNumberFormat="1" applyFont="1"/>
    <xf numFmtId="170" fontId="0" fillId="3" borderId="0" xfId="0" applyNumberFormat="1" applyFill="1"/>
    <xf numFmtId="167" fontId="0" fillId="0" borderId="1" xfId="0" applyNumberFormat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9" fontId="0" fillId="0" borderId="0" xfId="1" applyNumberFormat="1" applyFont="1"/>
    <xf numFmtId="0" fontId="9" fillId="0" borderId="0" xfId="0" applyFont="1" applyAlignment="1">
      <alignment horizontal="left" indent="3"/>
    </xf>
    <xf numFmtId="43" fontId="0" fillId="0" borderId="2" xfId="0" applyNumberFormat="1" applyBorder="1"/>
    <xf numFmtId="170" fontId="7" fillId="0" borderId="0" xfId="0" applyNumberFormat="1" applyFont="1"/>
    <xf numFmtId="9" fontId="0" fillId="0" borderId="3" xfId="2" applyFont="1" applyBorder="1"/>
    <xf numFmtId="9" fontId="0" fillId="0" borderId="4" xfId="2" applyFont="1" applyBorder="1"/>
    <xf numFmtId="43" fontId="0" fillId="0" borderId="3" xfId="1" applyFont="1" applyBorder="1"/>
    <xf numFmtId="43" fontId="0" fillId="0" borderId="4" xfId="1" applyFont="1" applyBorder="1"/>
    <xf numFmtId="0" fontId="0" fillId="0" borderId="0" xfId="0" quotePrefix="1"/>
    <xf numFmtId="165" fontId="9" fillId="0" borderId="0" xfId="2" applyNumberFormat="1" applyFont="1"/>
    <xf numFmtId="0" fontId="12" fillId="2" borderId="0" xfId="0" applyFont="1" applyFill="1"/>
    <xf numFmtId="0" fontId="12" fillId="2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DuPont Analysis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'DCF and EVA Valuation'!$B$112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'DCF and EVA Valuation'!$D$103:$M$103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'DCF and EVA Valuation'!$D$117:$M$117</c:f>
              <c:numCache>
                <c:formatCode>0%</c:formatCode>
                <c:ptCount val="10"/>
                <c:pt idx="0">
                  <c:v>0.99623529908470887</c:v>
                </c:pt>
                <c:pt idx="1">
                  <c:v>3.4495214782044386</c:v>
                </c:pt>
                <c:pt idx="2">
                  <c:v>2.5295284517563723</c:v>
                </c:pt>
                <c:pt idx="3">
                  <c:v>0.17229097499543186</c:v>
                </c:pt>
                <c:pt idx="4">
                  <c:v>1.0099378285830589</c:v>
                </c:pt>
                <c:pt idx="5">
                  <c:v>-0.4446834145029992</c:v>
                </c:pt>
                <c:pt idx="6">
                  <c:v>1.3357600726476078</c:v>
                </c:pt>
                <c:pt idx="7">
                  <c:v>1.5424732311510359</c:v>
                </c:pt>
                <c:pt idx="8">
                  <c:v>2.0868131992192609</c:v>
                </c:pt>
                <c:pt idx="9">
                  <c:v>0.51587690442240919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C-4A54-9D68-13745CD6B652}"/>
            </c:ext>
          </c:extLst>
        </c:ser>
        <c:ser>
          <c:idx val="1"/>
          <c:order val="1"/>
          <c:tx>
            <c:strRef>
              <c:f>'DCF and EVA Valuation'!$B$113</c:f>
              <c:strCache>
                <c:ptCount val="1"/>
                <c:pt idx="0">
                  <c:v>Total asset turnover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'DCF and EVA Valuation'!$D$103:$M$103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'DCF and EVA Valuation'!$D$118:$M$118</c:f>
              <c:numCache>
                <c:formatCode>0%</c:formatCode>
                <c:ptCount val="10"/>
                <c:pt idx="0">
                  <c:v>-0.5814528408325178</c:v>
                </c:pt>
                <c:pt idx="1">
                  <c:v>0.36575607581437819</c:v>
                </c:pt>
                <c:pt idx="2">
                  <c:v>-1.3529784683263528</c:v>
                </c:pt>
                <c:pt idx="3">
                  <c:v>0.82887691210553627</c:v>
                </c:pt>
                <c:pt idx="4">
                  <c:v>1.6608019416474766</c:v>
                </c:pt>
                <c:pt idx="5">
                  <c:v>0.57841449771245934</c:v>
                </c:pt>
                <c:pt idx="6">
                  <c:v>0.9474693771472763</c:v>
                </c:pt>
                <c:pt idx="7">
                  <c:v>-0.9114280978096081</c:v>
                </c:pt>
                <c:pt idx="8">
                  <c:v>-0.69525964822012587</c:v>
                </c:pt>
                <c:pt idx="9">
                  <c:v>-0.84019974923853036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C-4A54-9D68-13745CD6B652}"/>
            </c:ext>
          </c:extLst>
        </c:ser>
        <c:ser>
          <c:idx val="2"/>
          <c:order val="2"/>
          <c:tx>
            <c:strRef>
              <c:f>'DCF and EVA Valuation'!$B$114</c:f>
              <c:strCache>
                <c:ptCount val="1"/>
                <c:pt idx="0">
                  <c:v>Leverage factor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'DCF and EVA Valuation'!$D$103:$M$103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'DCF and EVA Valuation'!$D$119:$M$119</c:f>
              <c:numCache>
                <c:formatCode>0%</c:formatCode>
                <c:ptCount val="10"/>
                <c:pt idx="0">
                  <c:v>-0.985253086350658</c:v>
                </c:pt>
                <c:pt idx="1">
                  <c:v>-1.5419725351802875</c:v>
                </c:pt>
                <c:pt idx="2">
                  <c:v>-0.62949236691572952</c:v>
                </c:pt>
                <c:pt idx="3">
                  <c:v>-0.18034482361325307</c:v>
                </c:pt>
                <c:pt idx="4">
                  <c:v>-0.53245719681511283</c:v>
                </c:pt>
                <c:pt idx="5">
                  <c:v>0.45903443667824606</c:v>
                </c:pt>
                <c:pt idx="6">
                  <c:v>-0.28703824877276096</c:v>
                </c:pt>
                <c:pt idx="7">
                  <c:v>1.0154860217993202</c:v>
                </c:pt>
                <c:pt idx="8">
                  <c:v>1.4367338040223272</c:v>
                </c:pt>
                <c:pt idx="9">
                  <c:v>1.2453039951479159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C-4A54-9D68-13745CD6B652}"/>
            </c:ext>
          </c:extLst>
        </c:ser>
        <c:ser>
          <c:idx val="3"/>
          <c:order val="3"/>
          <c:tx>
            <c:strRef>
              <c:f>'DCF and EVA Valuation'!$B$115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'DCF and EVA Valuation'!$D$103:$M$103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'DCF and EVA Valuation'!$D$120:$M$120</c:f>
              <c:numCache>
                <c:formatCode>0%</c:formatCode>
                <c:ptCount val="10"/>
                <c:pt idx="0">
                  <c:v>-1.0083307947578659</c:v>
                </c:pt>
                <c:pt idx="1">
                  <c:v>1.3049133812527571</c:v>
                </c:pt>
                <c:pt idx="2">
                  <c:v>0.10019624102582568</c:v>
                </c:pt>
                <c:pt idx="3">
                  <c:v>-0.92389383184853335</c:v>
                </c:pt>
                <c:pt idx="4">
                  <c:v>0.26226217229369941</c:v>
                </c:pt>
                <c:pt idx="5">
                  <c:v>-1.5314394940881673</c:v>
                </c:pt>
                <c:pt idx="6">
                  <c:v>0.4820097958703371</c:v>
                </c:pt>
                <c:pt idx="7">
                  <c:v>0.42965133780632114</c:v>
                </c:pt>
                <c:pt idx="8">
                  <c:v>1.4898228078304721</c:v>
                </c:pt>
                <c:pt idx="9">
                  <c:v>-0.60519161538484623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3C-4A54-9D68-13745CD6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141135"/>
        <c:axId val="740504896"/>
      </c:lineChart>
      <c:catAx>
        <c:axId val="120614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0504896"/>
        <c:crosses val="autoZero"/>
        <c:auto val="1"/>
        <c:lblAlgn val="ctr"/>
        <c:lblOffset val="100"/>
        <c:noMultiLvlLbl val="0"/>
      </c:catAx>
      <c:valAx>
        <c:axId val="740504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20614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Conversion Cycle (CCC)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43919510061242"/>
                  <c:y val="-0.32768722091556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'DCF and EVA Valuation'!$E$108:$M$108</c:f>
              <c:numCache>
                <c:formatCode>_(* #,##0.00_);_(* \(#,##0.00\);_(* "-"??_);_(@_)</c:formatCode>
                <c:ptCount val="9"/>
                <c:pt idx="0">
                  <c:v>54.194947674244212</c:v>
                </c:pt>
                <c:pt idx="1">
                  <c:v>50.010349249026682</c:v>
                </c:pt>
                <c:pt idx="2">
                  <c:v>50.142787573965315</c:v>
                </c:pt>
                <c:pt idx="3">
                  <c:v>52.652313920243095</c:v>
                </c:pt>
                <c:pt idx="4">
                  <c:v>50.142796322948897</c:v>
                </c:pt>
                <c:pt idx="5">
                  <c:v>40.633200690400066</c:v>
                </c:pt>
                <c:pt idx="6">
                  <c:v>34.998777025184623</c:v>
                </c:pt>
                <c:pt idx="7">
                  <c:v>39.936314557397196</c:v>
                </c:pt>
                <c:pt idx="8">
                  <c:v>43.905159418172367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2-457F-9589-98FDE8DA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42447"/>
        <c:axId val="1490284639"/>
      </c:scatterChart>
      <c:valAx>
        <c:axId val="13629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84639"/>
        <c:crosses val="autoZero"/>
        <c:crossBetween val="midCat"/>
      </c:valAx>
      <c:valAx>
        <c:axId val="14902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Asset</a:t>
            </a:r>
            <a:r>
              <a:rPr lang="en-US" baseline="0"/>
              <a:t> Investment Policy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'DCF and EVA Valuation'!$D$136:$M$136</c:f>
              <c:numCache>
                <c:formatCode>_(* #,##0.00_);_(* \(#,##0.00\);_(* "-"??_);_(@_)</c:formatCode>
                <c:ptCount val="10"/>
                <c:pt idx="0">
                  <c:v>2.2070291698716051</c:v>
                </c:pt>
                <c:pt idx="1">
                  <c:v>2.4093390968035497</c:v>
                </c:pt>
                <c:pt idx="2">
                  <c:v>2.3680581719538845</c:v>
                </c:pt>
                <c:pt idx="3">
                  <c:v>2.9214748100197019</c:v>
                </c:pt>
                <c:pt idx="4">
                  <c:v>3.1017585400363838</c:v>
                </c:pt>
                <c:pt idx="5">
                  <c:v>3.5398043594501933</c:v>
                </c:pt>
                <c:pt idx="6">
                  <c:v>3.6811579718835366</c:v>
                </c:pt>
                <c:pt idx="7">
                  <c:v>3.2968332911854792</c:v>
                </c:pt>
                <c:pt idx="8">
                  <c:v>3.5406568462866193</c:v>
                </c:pt>
                <c:pt idx="9">
                  <c:v>3.5906936127744511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B-49AD-A097-431827C19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80703"/>
        <c:axId val="953002576"/>
      </c:scatterChart>
      <c:valAx>
        <c:axId val="15979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02576"/>
        <c:crosses val="autoZero"/>
        <c:crossBetween val="midCat"/>
      </c:valAx>
      <c:valAx>
        <c:axId val="9530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  <a:r>
              <a:rPr lang="en-US" baseline="0"/>
              <a:t> ratio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'Debt Ratio history'!$C$1:$P$1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'Debt Ratio history'!$C$4:$P$4</c:f>
              <c:numCache>
                <c:formatCode>0%</c:formatCode>
                <c:ptCount val="14"/>
                <c:pt idx="0">
                  <c:v>0.48484657947686116</c:v>
                </c:pt>
                <c:pt idx="1">
                  <c:v>0.45880760474989235</c:v>
                </c:pt>
                <c:pt idx="2">
                  <c:v>0.46943316459921008</c:v>
                </c:pt>
                <c:pt idx="3">
                  <c:v>0.47518948964123292</c:v>
                </c:pt>
                <c:pt idx="4">
                  <c:v>0.49802592371871268</c:v>
                </c:pt>
                <c:pt idx="5">
                  <c:v>0.45697394350777321</c:v>
                </c:pt>
                <c:pt idx="6">
                  <c:v>0.53635507009480576</c:v>
                </c:pt>
                <c:pt idx="7">
                  <c:v>0.57014946294965918</c:v>
                </c:pt>
                <c:pt idx="8">
                  <c:v>0.53923654248710839</c:v>
                </c:pt>
                <c:pt idx="9">
                  <c:v>0.61891038836283796</c:v>
                </c:pt>
                <c:pt idx="10">
                  <c:v>0.56955710817691985</c:v>
                </c:pt>
                <c:pt idx="11">
                  <c:v>0.64672105730263785</c:v>
                </c:pt>
                <c:pt idx="12">
                  <c:v>0.67675038210655547</c:v>
                </c:pt>
                <c:pt idx="13">
                  <c:v>0.67136586189431036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5-4716-A3EC-C1A4A8A7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61664"/>
        <c:axId val="740503904"/>
      </c:lineChart>
      <c:catAx>
        <c:axId val="81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03904"/>
        <c:crosses val="autoZero"/>
        <c:auto val="1"/>
        <c:lblAlgn val="ctr"/>
        <c:lblOffset val="100"/>
        <c:noMultiLvlLbl val="0"/>
      </c:catAx>
      <c:valAx>
        <c:axId val="740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114</xdr:row>
      <xdr:rowOff>90487</xdr:rowOff>
    </xdr:from>
    <xdr:to>
      <xdr:col>24</xdr:col>
      <xdr:colOff>428625</xdr:colOff>
      <xdr:row>129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096C4-533E-E531-1A0F-73624A014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433638</xdr:colOff>
      <xdr:row>98</xdr:row>
      <xdr:rowOff>29327</xdr:rowOff>
    </xdr:from>
    <xdr:to>
      <xdr:col>24</xdr:col>
      <xdr:colOff>538413</xdr:colOff>
      <xdr:row>114</xdr:row>
      <xdr:rowOff>48377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4D2E3-34DB-F208-CD1D-5D9E2A1A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146</xdr:row>
      <xdr:rowOff>85725</xdr:rowOff>
    </xdr:from>
    <xdr:to>
      <xdr:col>16</xdr:col>
      <xdr:colOff>19050</xdr:colOff>
      <xdr:row>155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830CC96-BC46-B6F6-3A16-B7857677429A}"/>
            </a:ext>
          </a:extLst>
        </xdr:cNvPr>
        <xdr:cNvSpPr txBox="1"/>
      </xdr:nvSpPr>
      <xdr:spPr>
        <a:xfrm>
          <a:off x="9086850" y="26584275"/>
          <a:ext cx="2162175" cy="17716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Elanders</a:t>
          </a:r>
          <a:r>
            <a:rPr lang="en-US" sz="1100" baseline="0"/>
            <a:t> is managing it's interest and debt levels sufficiently, but with moderate cushion. Substantial changes in economic environment, like a recession, would significantly impact this business. </a:t>
          </a:r>
        </a:p>
        <a:p>
          <a:endParaRPr lang="en-US" sz="1100" baseline="0"/>
        </a:p>
        <a:p>
          <a:r>
            <a:rPr lang="en-US" sz="1100" baseline="0"/>
            <a:t>Maintaining or improving operating performance is critical. </a:t>
          </a:r>
          <a:endParaRPr lang="en-US" sz="1100"/>
        </a:p>
      </xdr:txBody>
    </xdr:sp>
    <xdr:clientData/>
  </xdr:twoCellAnchor>
  <xdr:twoCellAnchor>
    <xdr:from>
      <xdr:col>17</xdr:col>
      <xdr:colOff>409575</xdr:colOff>
      <xdr:row>92</xdr:row>
      <xdr:rowOff>57150</xdr:rowOff>
    </xdr:from>
    <xdr:to>
      <xdr:col>24</xdr:col>
      <xdr:colOff>352425</xdr:colOff>
      <xdr:row>96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5AB32F-C7E3-1473-C65C-838CAC5417C7}"/>
            </a:ext>
          </a:extLst>
        </xdr:cNvPr>
        <xdr:cNvSpPr txBox="1"/>
      </xdr:nvSpPr>
      <xdr:spPr>
        <a:xfrm>
          <a:off x="12344400" y="16402050"/>
          <a:ext cx="44100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</a:t>
          </a:r>
          <a:r>
            <a:rPr lang="en-US" sz="1100" baseline="0"/>
            <a:t> year Elanders takes almost 2 days less to covert a dollar of investment in operations into a dollar of collected cashflow. </a:t>
          </a:r>
          <a:endParaRPr lang="en-US" sz="1100"/>
        </a:p>
      </xdr:txBody>
    </xdr:sp>
    <xdr:clientData/>
  </xdr:twoCellAnchor>
  <xdr:twoCellAnchor>
    <xdr:from>
      <xdr:col>24</xdr:col>
      <xdr:colOff>535907</xdr:colOff>
      <xdr:row>117</xdr:row>
      <xdr:rowOff>187492</xdr:rowOff>
    </xdr:from>
    <xdr:to>
      <xdr:col>27</xdr:col>
      <xdr:colOff>520867</xdr:colOff>
      <xdr:row>126</xdr:row>
      <xdr:rowOff>149392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8B4D26-4B66-BC0B-BD54-588A00B72122}"/>
            </a:ext>
          </a:extLst>
        </xdr:cNvPr>
        <xdr:cNvSpPr txBox="1"/>
      </xdr:nvSpPr>
      <xdr:spPr>
        <a:xfrm>
          <a:off x="16948986" y="21944597"/>
          <a:ext cx="1819776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</a:t>
          </a:r>
          <a:r>
            <a:rPr lang="en-US" sz="1100" baseline="0"/>
            <a:t> seems like Elander's ROE is relying a lot on it's leveraged capital structure. We also see that operations are requiring more assets to generate each unit of sales revenue - this could be due to reduced efficiency, or growth investment. </a:t>
          </a:r>
          <a:endParaRPr lang="en-US" sz="1100"/>
        </a:p>
      </xdr:txBody>
    </xdr:sp>
    <xdr:clientData/>
  </xdr:twoCellAnchor>
  <xdr:twoCellAnchor>
    <xdr:from>
      <xdr:col>12</xdr:col>
      <xdr:colOff>590550</xdr:colOff>
      <xdr:row>131</xdr:row>
      <xdr:rowOff>19050</xdr:rowOff>
    </xdr:from>
    <xdr:to>
      <xdr:col>15</xdr:col>
      <xdr:colOff>514350</xdr:colOff>
      <xdr:row>142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F3F2659-F2BF-E45B-F4B3-A16930C6BAE8}"/>
            </a:ext>
          </a:extLst>
        </xdr:cNvPr>
        <xdr:cNvSpPr txBox="1"/>
      </xdr:nvSpPr>
      <xdr:spPr>
        <a:xfrm>
          <a:off x="9077325" y="24041100"/>
          <a:ext cx="1962150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company's</a:t>
          </a:r>
          <a:r>
            <a:rPr lang="en-US" sz="1100" baseline="0"/>
            <a:t> current asset investment policy is moving from </a:t>
          </a:r>
          <a:r>
            <a:rPr lang="en-US" sz="1100" b="1" baseline="0"/>
            <a:t>relaxed</a:t>
          </a:r>
          <a:r>
            <a:rPr lang="en-US" sz="1100" baseline="0"/>
            <a:t> (high margins of safety, lots of extra cash and inventory are kept around) to more </a:t>
          </a:r>
          <a:r>
            <a:rPr lang="en-US" sz="1100" b="1" baseline="0"/>
            <a:t>moderate</a:t>
          </a:r>
          <a:r>
            <a:rPr lang="en-US" sz="1100" baseline="0"/>
            <a:t> (leaner operations). </a:t>
          </a:r>
        </a:p>
        <a:p>
          <a:r>
            <a:rPr lang="en-US" sz="1100" baseline="0"/>
            <a:t>This is especially important given the high degree of leverage - the company needs the asset turnover to improve.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15</xdr:col>
      <xdr:colOff>590550</xdr:colOff>
      <xdr:row>131</xdr:row>
      <xdr:rowOff>109537</xdr:rowOff>
    </xdr:from>
    <xdr:to>
      <xdr:col>22</xdr:col>
      <xdr:colOff>504825</xdr:colOff>
      <xdr:row>145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B4E60C-AF15-EFF7-6140-8A14C418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52387</xdr:rowOff>
    </xdr:from>
    <xdr:to>
      <xdr:col>18</xdr:col>
      <xdr:colOff>9525</xdr:colOff>
      <xdr:row>25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466F69-08AA-71E7-5F24-D383EA5E3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123825</xdr:rowOff>
    </xdr:from>
    <xdr:to>
      <xdr:col>8</xdr:col>
      <xdr:colOff>248243</xdr:colOff>
      <xdr:row>19</xdr:row>
      <xdr:rowOff>114751</xdr:rowOff>
    </xdr:to>
    <xdr:pic>
      <xdr:nvPicPr>
        <xdr:cNvPr id="2" name="Picture 1" descr="A table with numbers and text&#10;&#10;Description automatically generated">
          <a:extLst>
            <a:ext uri="{FF2B5EF4-FFF2-40B4-BE49-F238E27FC236}">
              <a16:creationId xmlns:a16="http://schemas.microsoft.com/office/drawing/2014/main" id="{3AF0C01A-FC91-420F-BB9A-7239FCA41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04825"/>
          <a:ext cx="4248743" cy="322942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19</xdr:row>
      <xdr:rowOff>123825</xdr:rowOff>
    </xdr:from>
    <xdr:to>
      <xdr:col>10</xdr:col>
      <xdr:colOff>429421</xdr:colOff>
      <xdr:row>23</xdr:row>
      <xdr:rowOff>19142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C5C2F-C188-4EFD-9C29-18487FE2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3743325"/>
          <a:ext cx="5706271" cy="65731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22</xdr:col>
      <xdr:colOff>296082</xdr:colOff>
      <xdr:row>14</xdr:row>
      <xdr:rowOff>133661</xdr:rowOff>
    </xdr:to>
    <xdr:pic>
      <xdr:nvPicPr>
        <xdr:cNvPr id="4" name="Picture 3" descr="A close up of a text&#10;&#10;Description automatically generated">
          <a:extLst>
            <a:ext uri="{FF2B5EF4-FFF2-40B4-BE49-F238E27FC236}">
              <a16:creationId xmlns:a16="http://schemas.microsoft.com/office/drawing/2014/main" id="{B1636BCA-D2C1-467A-AB8C-8EF43857E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571500"/>
          <a:ext cx="5782482" cy="2229161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15</xdr:row>
      <xdr:rowOff>152400</xdr:rowOff>
    </xdr:from>
    <xdr:to>
      <xdr:col>22</xdr:col>
      <xdr:colOff>334178</xdr:colOff>
      <xdr:row>21</xdr:row>
      <xdr:rowOff>143033</xdr:rowOff>
    </xdr:to>
    <xdr:pic>
      <xdr:nvPicPr>
        <xdr:cNvPr id="5" name="Picture 4" descr="A close-up of a newspaper&#10;&#10;Description automatically generated">
          <a:extLst>
            <a:ext uri="{FF2B5EF4-FFF2-40B4-BE49-F238E27FC236}">
              <a16:creationId xmlns:a16="http://schemas.microsoft.com/office/drawing/2014/main" id="{CE135149-AD54-4E2B-97C2-F17B5424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91475" y="3009900"/>
          <a:ext cx="5753903" cy="1133633"/>
        </a:xfrm>
        <a:prstGeom prst="rect">
          <a:avLst/>
        </a:prstGeom>
      </xdr:spPr>
    </xdr:pic>
    <xdr:clientData/>
  </xdr:twoCellAnchor>
  <xdr:twoCellAnchor editAs="oneCell">
    <xdr:from>
      <xdr:col>1</xdr:col>
      <xdr:colOff>441384</xdr:colOff>
      <xdr:row>23</xdr:row>
      <xdr:rowOff>38100</xdr:rowOff>
    </xdr:from>
    <xdr:to>
      <xdr:col>8</xdr:col>
      <xdr:colOff>136135</xdr:colOff>
      <xdr:row>37</xdr:row>
      <xdr:rowOff>95250</xdr:rowOff>
    </xdr:to>
    <xdr:pic>
      <xdr:nvPicPr>
        <xdr:cNvPr id="7" name="Picture 6" descr="A table with numbers and symbols&#10;&#10;Description automatically generated">
          <a:extLst>
            <a:ext uri="{FF2B5EF4-FFF2-40B4-BE49-F238E27FC236}">
              <a16:creationId xmlns:a16="http://schemas.microsoft.com/office/drawing/2014/main" id="{4E37772E-3B29-FB4D-E988-892F0B0E8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984" y="4419600"/>
          <a:ext cx="3961951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8837-E588-41C4-974E-F65BF6EA5007}">
  <dimension ref="A1:V163"/>
  <sheetViews>
    <sheetView showGridLines="0" tabSelected="1" topLeftCell="A68" zoomScale="95" zoomScaleNormal="95" workbookViewId="0">
      <selection activeCell="A103" sqref="A103"/>
    </sheetView>
  </sheetViews>
  <sheetFormatPr defaultRowHeight="15" x14ac:dyDescent="0.25"/>
  <cols>
    <col min="1" max="1" width="2.7109375" style="48" customWidth="1"/>
    <col min="2" max="2" width="14.7109375" customWidth="1"/>
    <col min="3" max="3" width="22.140625" customWidth="1"/>
    <col min="4" max="4" width="14.5703125" bestFit="1" customWidth="1"/>
    <col min="14" max="14" width="10.85546875" bestFit="1" customWidth="1"/>
    <col min="15" max="17" width="10.5703125" bestFit="1" customWidth="1"/>
    <col min="18" max="18" width="10.7109375" bestFit="1" customWidth="1"/>
    <col min="19" max="19" width="10.5703125" bestFit="1" customWidth="1"/>
  </cols>
  <sheetData>
    <row r="1" spans="1:22" s="4" customFormat="1" ht="35.1" customHeight="1" x14ac:dyDescent="0.5">
      <c r="A1" s="47"/>
      <c r="B1" s="3" t="s">
        <v>3</v>
      </c>
    </row>
    <row r="2" spans="1:22" x14ac:dyDescent="0.25">
      <c r="B2" t="s">
        <v>16</v>
      </c>
      <c r="C2" s="2" t="s">
        <v>48</v>
      </c>
    </row>
    <row r="3" spans="1:22" x14ac:dyDescent="0.25">
      <c r="C3" s="2"/>
    </row>
    <row r="4" spans="1:22" x14ac:dyDescent="0.25">
      <c r="A4" s="49" t="s">
        <v>79</v>
      </c>
      <c r="B4" s="21" t="s">
        <v>72</v>
      </c>
      <c r="C4" s="22"/>
      <c r="D4" s="22"/>
    </row>
    <row r="5" spans="1:22" ht="5.0999999999999996" customHeight="1" x14ac:dyDescent="0.25">
      <c r="A5" s="49"/>
    </row>
    <row r="6" spans="1:22" x14ac:dyDescent="0.25">
      <c r="B6" t="s">
        <v>63</v>
      </c>
      <c r="C6" s="2"/>
      <c r="D6" s="39">
        <v>2.5000000000000001E-2</v>
      </c>
    </row>
    <row r="7" spans="1:22" x14ac:dyDescent="0.25">
      <c r="B7" t="s">
        <v>64</v>
      </c>
      <c r="C7" s="2"/>
      <c r="D7" s="39">
        <v>0</v>
      </c>
    </row>
    <row r="8" spans="1:22" x14ac:dyDescent="0.25">
      <c r="B8" t="s">
        <v>66</v>
      </c>
      <c r="C8" s="2"/>
      <c r="D8" s="39">
        <v>0.86</v>
      </c>
    </row>
    <row r="9" spans="1:22" x14ac:dyDescent="0.25">
      <c r="B9" t="s">
        <v>65</v>
      </c>
      <c r="C9" s="2"/>
      <c r="D9" s="39">
        <v>0.02</v>
      </c>
    </row>
    <row r="10" spans="1:22" x14ac:dyDescent="0.25">
      <c r="B10" t="s">
        <v>68</v>
      </c>
      <c r="C10" s="2"/>
      <c r="D10" s="39">
        <v>0.25</v>
      </c>
    </row>
    <row r="11" spans="1:22" x14ac:dyDescent="0.25">
      <c r="B11" t="s">
        <v>67</v>
      </c>
      <c r="C11" s="2"/>
      <c r="D11" s="39">
        <v>0.28000000000000003</v>
      </c>
    </row>
    <row r="12" spans="1:22" x14ac:dyDescent="0.25">
      <c r="B12" t="s">
        <v>76</v>
      </c>
      <c r="C12" s="2"/>
      <c r="D12" s="39">
        <v>0.06</v>
      </c>
      <c r="M12" s="20"/>
    </row>
    <row r="13" spans="1:22" x14ac:dyDescent="0.25">
      <c r="C13" s="2"/>
    </row>
    <row r="14" spans="1:22" x14ac:dyDescent="0.25">
      <c r="C14" s="2"/>
      <c r="N14" s="39">
        <f>$D$6</f>
        <v>2.5000000000000001E-2</v>
      </c>
      <c r="O14" s="39">
        <f t="shared" ref="O14:R14" si="0">$D$6</f>
        <v>2.5000000000000001E-2</v>
      </c>
      <c r="P14" s="39">
        <f t="shared" si="0"/>
        <v>2.5000000000000001E-2</v>
      </c>
      <c r="Q14" s="39">
        <f t="shared" si="0"/>
        <v>2.5000000000000001E-2</v>
      </c>
      <c r="R14" s="39">
        <f t="shared" si="0"/>
        <v>2.5000000000000001E-2</v>
      </c>
      <c r="S14" s="39">
        <f>D7</f>
        <v>0</v>
      </c>
    </row>
    <row r="15" spans="1:22" x14ac:dyDescent="0.25">
      <c r="A15" s="49" t="s">
        <v>79</v>
      </c>
      <c r="B15" s="21" t="s">
        <v>73</v>
      </c>
      <c r="C15" s="22"/>
      <c r="D15" s="21">
        <v>2014</v>
      </c>
      <c r="E15" s="21">
        <v>2015</v>
      </c>
      <c r="F15" s="21">
        <v>2016</v>
      </c>
      <c r="G15" s="21">
        <v>2017</v>
      </c>
      <c r="H15" s="21">
        <v>2018</v>
      </c>
      <c r="I15" s="21">
        <v>2019</v>
      </c>
      <c r="J15" s="21">
        <v>2020</v>
      </c>
      <c r="K15" s="21">
        <v>2021</v>
      </c>
      <c r="L15" s="21">
        <v>2022</v>
      </c>
      <c r="M15" s="21">
        <v>2023</v>
      </c>
      <c r="N15" s="60">
        <v>2024</v>
      </c>
      <c r="O15" s="60">
        <v>2025</v>
      </c>
      <c r="P15" s="60">
        <v>2026</v>
      </c>
      <c r="Q15" s="60">
        <v>2027</v>
      </c>
      <c r="R15" s="60">
        <v>2028</v>
      </c>
      <c r="S15" s="61" t="s">
        <v>21</v>
      </c>
      <c r="V15" t="s">
        <v>113</v>
      </c>
    </row>
    <row r="16" spans="1:22" ht="5.0999999999999996" customHeight="1" x14ac:dyDescent="0.25">
      <c r="A16" s="49"/>
    </row>
    <row r="17" spans="2:22" x14ac:dyDescent="0.25">
      <c r="B17" t="s">
        <v>0</v>
      </c>
      <c r="D17" s="37">
        <v>3730.1</v>
      </c>
      <c r="E17" s="37">
        <v>4236.1000000000004</v>
      </c>
      <c r="F17" s="37">
        <v>6285.3</v>
      </c>
      <c r="G17" s="37">
        <v>9342</v>
      </c>
      <c r="H17" s="37">
        <v>10741.7</v>
      </c>
      <c r="I17" s="37">
        <v>11254.1</v>
      </c>
      <c r="J17" s="37">
        <v>11050.1</v>
      </c>
      <c r="K17" s="37">
        <v>11733.1</v>
      </c>
      <c r="L17" s="37">
        <v>14974.5</v>
      </c>
      <c r="M17" s="37">
        <v>14391.5</v>
      </c>
      <c r="N17" s="38">
        <f t="shared" ref="N17:S17" si="1">M17*(1+N14)</f>
        <v>14751.287499999999</v>
      </c>
      <c r="O17" s="38">
        <f t="shared" si="1"/>
        <v>15120.069687499998</v>
      </c>
      <c r="P17" s="38">
        <f t="shared" si="1"/>
        <v>15498.071429687496</v>
      </c>
      <c r="Q17" s="38">
        <f t="shared" si="1"/>
        <v>15885.523215429681</v>
      </c>
      <c r="R17" s="38">
        <f t="shared" si="1"/>
        <v>16282.661295815422</v>
      </c>
      <c r="S17" s="38">
        <f t="shared" si="1"/>
        <v>16282.661295815422</v>
      </c>
      <c r="T17" s="10">
        <f>S17*(1+S14)</f>
        <v>16282.661295815422</v>
      </c>
      <c r="V17" s="58" t="s">
        <v>112</v>
      </c>
    </row>
    <row r="18" spans="2:22" x14ac:dyDescent="0.25">
      <c r="B18" t="s">
        <v>1</v>
      </c>
      <c r="D18" s="37">
        <v>2897.5</v>
      </c>
      <c r="E18" s="37">
        <v>3252</v>
      </c>
      <c r="F18" s="37">
        <v>5090.8999999999996</v>
      </c>
      <c r="G18" s="37">
        <v>8008</v>
      </c>
      <c r="H18" s="37">
        <v>9330.2000000000007</v>
      </c>
      <c r="I18" s="37">
        <v>9779.9</v>
      </c>
      <c r="J18" s="37">
        <v>9478.5</v>
      </c>
      <c r="K18" s="37">
        <v>10088.299999999999</v>
      </c>
      <c r="L18" s="37">
        <v>12743.7</v>
      </c>
      <c r="M18" s="37">
        <v>12059.7</v>
      </c>
      <c r="N18" s="10">
        <f>N17*N19</f>
        <v>12686.107249999999</v>
      </c>
      <c r="O18" s="10">
        <f t="shared" ref="O18:S18" si="2">O17*O19</f>
        <v>13003.259931249997</v>
      </c>
      <c r="P18" s="10">
        <f t="shared" si="2"/>
        <v>13328.341429531247</v>
      </c>
      <c r="Q18" s="10">
        <f t="shared" si="2"/>
        <v>13661.549965269525</v>
      </c>
      <c r="R18" s="10">
        <f t="shared" si="2"/>
        <v>14003.088714401263</v>
      </c>
      <c r="S18" s="10">
        <f t="shared" si="2"/>
        <v>14003.088714401263</v>
      </c>
      <c r="V18" t="s">
        <v>108</v>
      </c>
    </row>
    <row r="19" spans="2:22" x14ac:dyDescent="0.25">
      <c r="B19" s="51"/>
      <c r="D19" s="5">
        <f>D18/D17</f>
        <v>0.77678882603683552</v>
      </c>
      <c r="E19" s="5">
        <f>E18/E17</f>
        <v>0.76768725950756589</v>
      </c>
      <c r="F19" s="5">
        <f t="shared" ref="F19:M19" si="3">F18/F17</f>
        <v>0.80996929343070334</v>
      </c>
      <c r="G19" s="5">
        <f t="shared" si="3"/>
        <v>0.85720402483408265</v>
      </c>
      <c r="H19" s="5">
        <f t="shared" si="3"/>
        <v>0.86859621847566026</v>
      </c>
      <c r="I19" s="5">
        <f t="shared" si="3"/>
        <v>0.86900773940164022</v>
      </c>
      <c r="J19" s="5">
        <f t="shared" si="3"/>
        <v>0.85777504275979399</v>
      </c>
      <c r="K19" s="5">
        <f t="shared" si="3"/>
        <v>0.85981539405613172</v>
      </c>
      <c r="L19" s="5">
        <f t="shared" si="3"/>
        <v>0.8510267454672944</v>
      </c>
      <c r="M19" s="5">
        <f t="shared" si="3"/>
        <v>0.83797380398151688</v>
      </c>
      <c r="N19" s="29">
        <f>$D$8</f>
        <v>0.86</v>
      </c>
      <c r="O19" s="29">
        <f t="shared" ref="O19:S19" si="4">$D$8</f>
        <v>0.86</v>
      </c>
      <c r="P19" s="29">
        <f t="shared" si="4"/>
        <v>0.86</v>
      </c>
      <c r="Q19" s="29">
        <f t="shared" si="4"/>
        <v>0.86</v>
      </c>
      <c r="R19" s="29">
        <f t="shared" si="4"/>
        <v>0.86</v>
      </c>
      <c r="S19" s="29">
        <f t="shared" si="4"/>
        <v>0.86</v>
      </c>
    </row>
    <row r="20" spans="2:22" x14ac:dyDescent="0.25">
      <c r="B20" t="s">
        <v>91</v>
      </c>
      <c r="D20" s="32">
        <v>540.4</v>
      </c>
      <c r="E20" s="32">
        <v>572.70000000000005</v>
      </c>
      <c r="F20" s="32">
        <v>697.6</v>
      </c>
      <c r="G20" s="32">
        <v>782.7</v>
      </c>
      <c r="H20" s="32">
        <v>701</v>
      </c>
      <c r="I20" s="32">
        <v>194.60000000000002</v>
      </c>
      <c r="J20" s="32">
        <v>129.40000000000009</v>
      </c>
      <c r="K20" s="32">
        <v>184.50000000000011</v>
      </c>
      <c r="L20" s="32">
        <v>359.90000000000009</v>
      </c>
      <c r="M20" s="32">
        <v>463.90000000000009</v>
      </c>
      <c r="N20" s="27">
        <f>N21*N17</f>
        <v>295.02574999999996</v>
      </c>
      <c r="O20" s="27">
        <f t="shared" ref="O20:S20" si="5">O21*O17</f>
        <v>302.40139374999995</v>
      </c>
      <c r="P20" s="27">
        <f t="shared" si="5"/>
        <v>309.96142859374993</v>
      </c>
      <c r="Q20" s="27">
        <f t="shared" si="5"/>
        <v>317.7104643085936</v>
      </c>
      <c r="R20" s="27">
        <f t="shared" si="5"/>
        <v>325.65322591630843</v>
      </c>
      <c r="S20" s="27">
        <f t="shared" si="5"/>
        <v>325.65322591630843</v>
      </c>
    </row>
    <row r="21" spans="2:22" x14ac:dyDescent="0.25">
      <c r="B21" s="51"/>
      <c r="D21" s="15">
        <f>D20/D17</f>
        <v>0.14487547250743948</v>
      </c>
      <c r="E21" s="15">
        <f t="shared" ref="E21:M21" si="6">E20/E17</f>
        <v>0.13519510870848186</v>
      </c>
      <c r="F21" s="15">
        <f t="shared" si="6"/>
        <v>0.11098913337469969</v>
      </c>
      <c r="G21" s="15">
        <f t="shared" si="6"/>
        <v>8.3782915863840721E-2</v>
      </c>
      <c r="H21" s="15">
        <f t="shared" si="6"/>
        <v>6.5259688876062441E-2</v>
      </c>
      <c r="I21" s="15">
        <f t="shared" si="6"/>
        <v>1.7291475995415004E-2</v>
      </c>
      <c r="J21" s="15">
        <f t="shared" si="6"/>
        <v>1.1710301264241961E-2</v>
      </c>
      <c r="K21" s="15">
        <f t="shared" si="6"/>
        <v>1.5724744526169565E-2</v>
      </c>
      <c r="L21" s="15">
        <f t="shared" si="6"/>
        <v>2.4034191458813321E-2</v>
      </c>
      <c r="M21" s="15">
        <f t="shared" si="6"/>
        <v>3.2234304971684682E-2</v>
      </c>
      <c r="N21" s="29">
        <f>$D$9</f>
        <v>0.02</v>
      </c>
      <c r="O21" s="29">
        <f t="shared" ref="O21:S21" si="7">$D$9</f>
        <v>0.02</v>
      </c>
      <c r="P21" s="29">
        <f t="shared" si="7"/>
        <v>0.02</v>
      </c>
      <c r="Q21" s="29">
        <f t="shared" si="7"/>
        <v>0.02</v>
      </c>
      <c r="R21" s="29">
        <f t="shared" si="7"/>
        <v>0.02</v>
      </c>
      <c r="S21" s="29">
        <f t="shared" si="7"/>
        <v>0.02</v>
      </c>
    </row>
    <row r="22" spans="2:22" x14ac:dyDescent="0.25">
      <c r="B22" t="s">
        <v>57</v>
      </c>
      <c r="D22" s="32">
        <v>118</v>
      </c>
      <c r="E22" s="32">
        <v>129.69999999999999</v>
      </c>
      <c r="F22" s="32">
        <v>171.1</v>
      </c>
      <c r="G22" s="32">
        <v>255.2</v>
      </c>
      <c r="H22" s="32">
        <v>266</v>
      </c>
      <c r="I22" s="32">
        <v>926.6</v>
      </c>
      <c r="J22" s="32">
        <v>884.8</v>
      </c>
      <c r="K22" s="32">
        <v>888.1</v>
      </c>
      <c r="L22" s="32">
        <v>1091.0999999999999</v>
      </c>
      <c r="M22" s="32">
        <v>1199.0999999999999</v>
      </c>
      <c r="N22" s="30">
        <f t="shared" ref="N22:S22" si="8">N23*M58</f>
        <v>1348.2</v>
      </c>
      <c r="O22" s="30">
        <f t="shared" si="8"/>
        <v>1058.4048781249999</v>
      </c>
      <c r="P22" s="30">
        <f t="shared" si="8"/>
        <v>1084.8650000781247</v>
      </c>
      <c r="Q22" s="30">
        <f t="shared" si="8"/>
        <v>1111.9866250800778</v>
      </c>
      <c r="R22" s="30">
        <f t="shared" si="8"/>
        <v>1139.7862907070796</v>
      </c>
      <c r="S22" s="30">
        <f t="shared" si="8"/>
        <v>1139.7862907070796</v>
      </c>
    </row>
    <row r="23" spans="2:22" x14ac:dyDescent="0.25">
      <c r="B23" s="51"/>
      <c r="D23" s="12"/>
      <c r="E23" s="5">
        <f t="shared" ref="E23:M23" si="9">E22/D58</f>
        <v>0.33061432577109351</v>
      </c>
      <c r="F23" s="5">
        <f t="shared" si="9"/>
        <v>0.51242887091943701</v>
      </c>
      <c r="G23" s="5">
        <f t="shared" si="9"/>
        <v>0.31670389674857286</v>
      </c>
      <c r="H23" s="5">
        <f t="shared" si="9"/>
        <v>0.32113968368948448</v>
      </c>
      <c r="I23" s="5">
        <f t="shared" si="9"/>
        <v>1.1741003547896605</v>
      </c>
      <c r="J23" s="5">
        <f t="shared" si="9"/>
        <v>0.35594174913508725</v>
      </c>
      <c r="K23" s="5">
        <f t="shared" si="9"/>
        <v>0.39374861449789406</v>
      </c>
      <c r="L23" s="5">
        <f t="shared" si="9"/>
        <v>0.32359570555786221</v>
      </c>
      <c r="M23" s="5">
        <f t="shared" si="9"/>
        <v>0.2412870251126851</v>
      </c>
      <c r="N23" s="29">
        <f>$D$11</f>
        <v>0.28000000000000003</v>
      </c>
      <c r="O23" s="29">
        <f t="shared" ref="O23:S23" si="10">$D$11</f>
        <v>0.28000000000000003</v>
      </c>
      <c r="P23" s="29">
        <f t="shared" si="10"/>
        <v>0.28000000000000003</v>
      </c>
      <c r="Q23" s="29">
        <f t="shared" si="10"/>
        <v>0.28000000000000003</v>
      </c>
      <c r="R23" s="29">
        <f t="shared" si="10"/>
        <v>0.28000000000000003</v>
      </c>
      <c r="S23" s="29">
        <f t="shared" si="10"/>
        <v>0.28000000000000003</v>
      </c>
    </row>
    <row r="24" spans="2:22" x14ac:dyDescent="0.25">
      <c r="B24" t="s">
        <v>2</v>
      </c>
      <c r="D24" s="10">
        <f t="shared" ref="D24:N24" si="11">D17-D18-D20-D22</f>
        <v>174.19999999999993</v>
      </c>
      <c r="E24" s="10">
        <f t="shared" si="11"/>
        <v>281.70000000000033</v>
      </c>
      <c r="F24" s="10">
        <f t="shared" si="11"/>
        <v>325.7000000000005</v>
      </c>
      <c r="G24" s="10">
        <f t="shared" si="11"/>
        <v>296.09999999999997</v>
      </c>
      <c r="H24" s="10">
        <f t="shared" si="11"/>
        <v>444.5</v>
      </c>
      <c r="I24" s="10">
        <f t="shared" si="11"/>
        <v>353.0000000000008</v>
      </c>
      <c r="J24" s="10">
        <f t="shared" si="11"/>
        <v>557.40000000000032</v>
      </c>
      <c r="K24" s="10">
        <f t="shared" si="11"/>
        <v>572.20000000000107</v>
      </c>
      <c r="L24" s="10">
        <f t="shared" si="11"/>
        <v>779.79999999999927</v>
      </c>
      <c r="M24" s="10">
        <f t="shared" si="11"/>
        <v>668.79999999999927</v>
      </c>
      <c r="N24" s="10">
        <f t="shared" si="11"/>
        <v>421.95449999999937</v>
      </c>
      <c r="O24" s="10">
        <f t="shared" ref="O24:S24" si="12">O17-O18-O20-O22</f>
        <v>756.00348437500088</v>
      </c>
      <c r="P24" s="10">
        <f t="shared" si="12"/>
        <v>774.9035714843742</v>
      </c>
      <c r="Q24" s="10">
        <f t="shared" si="12"/>
        <v>794.27616077148423</v>
      </c>
      <c r="R24" s="10">
        <f t="shared" si="12"/>
        <v>814.13306479077073</v>
      </c>
      <c r="S24" s="10">
        <f t="shared" si="12"/>
        <v>814.13306479077073</v>
      </c>
    </row>
    <row r="25" spans="2:22" x14ac:dyDescent="0.25">
      <c r="B25" s="51" t="s">
        <v>114</v>
      </c>
      <c r="D25" s="59">
        <f>D24/D17</f>
        <v>4.670116082678747E-2</v>
      </c>
      <c r="E25" s="59">
        <f t="shared" ref="E25:S25" si="13">E24/E17</f>
        <v>6.6499846556974648E-2</v>
      </c>
      <c r="F25" s="59">
        <f t="shared" si="13"/>
        <v>5.1819324455475553E-2</v>
      </c>
      <c r="G25" s="59">
        <f t="shared" si="13"/>
        <v>3.1695568400770709E-2</v>
      </c>
      <c r="H25" s="59">
        <f t="shared" si="13"/>
        <v>4.1380787026262134E-2</v>
      </c>
      <c r="I25" s="59">
        <f t="shared" si="13"/>
        <v>3.1366346487058119E-2</v>
      </c>
      <c r="J25" s="59">
        <f t="shared" si="13"/>
        <v>5.0442982416448748E-2</v>
      </c>
      <c r="K25" s="59">
        <f t="shared" si="13"/>
        <v>4.8768015273031089E-2</v>
      </c>
      <c r="L25" s="59">
        <f t="shared" si="13"/>
        <v>5.2075194497312051E-2</v>
      </c>
      <c r="M25" s="59">
        <f t="shared" si="13"/>
        <v>4.6471875759997172E-2</v>
      </c>
      <c r="N25" s="59">
        <f t="shared" si="13"/>
        <v>2.8604587904615064E-2</v>
      </c>
      <c r="O25" s="59">
        <f t="shared" si="13"/>
        <v>5.0000000000000065E-2</v>
      </c>
      <c r="P25" s="59">
        <f t="shared" si="13"/>
        <v>4.9999999999999961E-2</v>
      </c>
      <c r="Q25" s="59">
        <f t="shared" si="13"/>
        <v>5.000000000000001E-2</v>
      </c>
      <c r="R25" s="59">
        <f t="shared" si="13"/>
        <v>4.9999999999999975E-2</v>
      </c>
      <c r="S25" s="59">
        <f t="shared" si="13"/>
        <v>4.9999999999999975E-2</v>
      </c>
    </row>
    <row r="26" spans="2:22" x14ac:dyDescent="0.25">
      <c r="B26" t="s">
        <v>20</v>
      </c>
      <c r="D26" s="15">
        <v>0.372</v>
      </c>
      <c r="E26" s="15">
        <v>0.3270343231777863</v>
      </c>
      <c r="F26" s="15">
        <v>0.27663115845539282</v>
      </c>
      <c r="G26" s="15">
        <v>0.28385416666666669</v>
      </c>
      <c r="H26" s="15">
        <v>0.29402129402129401</v>
      </c>
      <c r="I26" s="15">
        <v>0.29081632653061229</v>
      </c>
      <c r="J26" s="15">
        <v>0.29509780246317313</v>
      </c>
      <c r="K26" s="15">
        <v>0.31327800829875518</v>
      </c>
      <c r="L26" s="15">
        <v>0.26962918480708603</v>
      </c>
      <c r="M26" s="15">
        <v>0.32084578257871749</v>
      </c>
      <c r="N26" s="29">
        <v>0.3</v>
      </c>
      <c r="O26" s="29">
        <v>0.3</v>
      </c>
      <c r="P26" s="29">
        <v>0.3</v>
      </c>
      <c r="Q26" s="29">
        <v>0.3</v>
      </c>
      <c r="R26" s="29">
        <v>0.3</v>
      </c>
      <c r="S26" s="29">
        <v>0.3</v>
      </c>
    </row>
    <row r="27" spans="2:22" x14ac:dyDescent="0.25">
      <c r="B27" t="s">
        <v>27</v>
      </c>
      <c r="D27" s="18">
        <f t="shared" ref="D27:S27" si="14">D24*(1-D26)</f>
        <v>109.39759999999995</v>
      </c>
      <c r="E27" s="18">
        <f t="shared" si="14"/>
        <v>189.5744311608178</v>
      </c>
      <c r="F27" s="18">
        <f t="shared" si="14"/>
        <v>235.60123169107891</v>
      </c>
      <c r="G27" s="18">
        <f t="shared" si="14"/>
        <v>212.05078124999994</v>
      </c>
      <c r="H27" s="18">
        <f t="shared" si="14"/>
        <v>313.80753480753481</v>
      </c>
      <c r="I27" s="18">
        <f t="shared" si="14"/>
        <v>250.34183673469443</v>
      </c>
      <c r="J27" s="18">
        <f t="shared" si="14"/>
        <v>392.91248490702748</v>
      </c>
      <c r="K27" s="18">
        <f t="shared" si="14"/>
        <v>392.94232365145302</v>
      </c>
      <c r="L27" s="18">
        <f t="shared" si="14"/>
        <v>569.54316168743378</v>
      </c>
      <c r="M27" s="18">
        <f t="shared" si="14"/>
        <v>454.21834061135331</v>
      </c>
      <c r="N27" s="28">
        <f t="shared" si="14"/>
        <v>295.36814999999956</v>
      </c>
      <c r="O27" s="28">
        <f t="shared" si="14"/>
        <v>529.20243906250062</v>
      </c>
      <c r="P27" s="28">
        <f t="shared" si="14"/>
        <v>542.43250003906189</v>
      </c>
      <c r="Q27" s="28">
        <f t="shared" si="14"/>
        <v>555.99331254003891</v>
      </c>
      <c r="R27" s="28">
        <f t="shared" si="14"/>
        <v>569.89314535353947</v>
      </c>
      <c r="S27" s="28">
        <f t="shared" si="14"/>
        <v>569.89314535353947</v>
      </c>
    </row>
    <row r="28" spans="2:22" x14ac:dyDescent="0.25">
      <c r="B28" t="s">
        <v>58</v>
      </c>
      <c r="D28" s="18">
        <f>D22+D27</f>
        <v>227.39759999999995</v>
      </c>
      <c r="E28" s="18">
        <f t="shared" ref="E28:S28" si="15">E22+E27</f>
        <v>319.27443116081781</v>
      </c>
      <c r="F28" s="18">
        <f t="shared" si="15"/>
        <v>406.70123169107887</v>
      </c>
      <c r="G28" s="18">
        <f t="shared" si="15"/>
        <v>467.25078124999993</v>
      </c>
      <c r="H28" s="18">
        <f t="shared" si="15"/>
        <v>579.80753480753481</v>
      </c>
      <c r="I28" s="18">
        <f t="shared" si="15"/>
        <v>1176.9418367346943</v>
      </c>
      <c r="J28" s="18">
        <f t="shared" si="15"/>
        <v>1277.7124849070274</v>
      </c>
      <c r="K28" s="18">
        <f t="shared" si="15"/>
        <v>1281.042323651453</v>
      </c>
      <c r="L28" s="18">
        <f t="shared" si="15"/>
        <v>1660.6431616874338</v>
      </c>
      <c r="M28" s="18">
        <f t="shared" si="15"/>
        <v>1653.3183406113533</v>
      </c>
      <c r="N28" s="18">
        <f t="shared" si="15"/>
        <v>1643.5681499999996</v>
      </c>
      <c r="O28" s="18">
        <f t="shared" si="15"/>
        <v>1587.6073171875005</v>
      </c>
      <c r="P28" s="18">
        <f t="shared" si="15"/>
        <v>1627.2975001171867</v>
      </c>
      <c r="Q28" s="18">
        <f t="shared" si="15"/>
        <v>1667.9799376201167</v>
      </c>
      <c r="R28" s="18">
        <f t="shared" si="15"/>
        <v>1709.6794360606191</v>
      </c>
      <c r="S28" s="18">
        <f t="shared" si="15"/>
        <v>1709.6794360606191</v>
      </c>
    </row>
    <row r="29" spans="2:22" x14ac:dyDescent="0.25">
      <c r="B29" s="34" t="s">
        <v>59</v>
      </c>
      <c r="D29" s="19"/>
      <c r="E29" s="18">
        <f xml:space="preserve"> - (E75-D75)</f>
        <v>-210.29999999999973</v>
      </c>
      <c r="F29" s="18">
        <f t="shared" ref="F29:S29" si="16" xml:space="preserve"> - (F75-E75)</f>
        <v>-1373.1000000000001</v>
      </c>
      <c r="G29" s="18">
        <f t="shared" si="16"/>
        <v>208.10000000000014</v>
      </c>
      <c r="H29" s="18">
        <f t="shared" si="16"/>
        <v>-120.70000000000027</v>
      </c>
      <c r="I29" s="18">
        <f t="shared" si="16"/>
        <v>530.69999999999982</v>
      </c>
      <c r="J29" s="18">
        <f t="shared" si="16"/>
        <v>-182.40000000000009</v>
      </c>
      <c r="K29" s="18">
        <f t="shared" si="16"/>
        <v>84.700000000000728</v>
      </c>
      <c r="L29" s="18">
        <f t="shared" si="16"/>
        <v>-383.80000000000064</v>
      </c>
      <c r="M29" s="18">
        <f t="shared" si="16"/>
        <v>809.80000000000018</v>
      </c>
      <c r="N29" s="18">
        <f xml:space="preserve"> - (N75-M75)</f>
        <v>-669.07724999999994</v>
      </c>
      <c r="O29" s="18">
        <f t="shared" si="16"/>
        <v>-22.12693124999987</v>
      </c>
      <c r="P29" s="18">
        <f t="shared" si="16"/>
        <v>-22.680104531249867</v>
      </c>
      <c r="Q29" s="18">
        <f t="shared" si="16"/>
        <v>-23.247107144531128</v>
      </c>
      <c r="R29" s="18">
        <f t="shared" si="16"/>
        <v>-23.828284823144486</v>
      </c>
      <c r="S29" s="18">
        <f t="shared" si="16"/>
        <v>0</v>
      </c>
    </row>
    <row r="30" spans="2:22" x14ac:dyDescent="0.25">
      <c r="B30" s="34" t="s">
        <v>60</v>
      </c>
      <c r="D30" s="19"/>
      <c r="E30" s="18">
        <f t="shared" ref="E30:S30" si="17" xml:space="preserve"> - (E58-D58 + E22)</f>
        <v>-71.299999999999955</v>
      </c>
      <c r="F30" s="18">
        <f t="shared" si="17"/>
        <v>-643</v>
      </c>
      <c r="G30" s="18">
        <f t="shared" si="17"/>
        <v>-277.7</v>
      </c>
      <c r="H30" s="18">
        <f t="shared" si="17"/>
        <v>-226.90000000000009</v>
      </c>
      <c r="I30" s="18">
        <f t="shared" si="17"/>
        <v>-2623.2000000000003</v>
      </c>
      <c r="J30" s="18">
        <f t="shared" si="17"/>
        <v>-654.49999999999977</v>
      </c>
      <c r="K30" s="18">
        <f t="shared" si="17"/>
        <v>-2004.4</v>
      </c>
      <c r="L30" s="18">
        <f t="shared" si="17"/>
        <v>-2688.9</v>
      </c>
      <c r="M30" s="18">
        <f t="shared" si="17"/>
        <v>-1044.4999999999995</v>
      </c>
      <c r="N30" s="18">
        <f t="shared" si="17"/>
        <v>-313.21742187499945</v>
      </c>
      <c r="O30" s="18">
        <f t="shared" si="17"/>
        <v>-1152.9053136718744</v>
      </c>
      <c r="P30" s="18">
        <f t="shared" si="17"/>
        <v>-1181.727946513671</v>
      </c>
      <c r="Q30" s="18">
        <f t="shared" si="17"/>
        <v>-1211.2711451765131</v>
      </c>
      <c r="R30" s="18">
        <f t="shared" si="17"/>
        <v>-1139.7862907070796</v>
      </c>
      <c r="S30" s="18">
        <f t="shared" si="17"/>
        <v>-1139.7862907070796</v>
      </c>
    </row>
    <row r="31" spans="2:22" x14ac:dyDescent="0.25">
      <c r="B31" s="34" t="s">
        <v>61</v>
      </c>
      <c r="D31" s="19"/>
      <c r="E31" s="18">
        <f>E28+E29+E30</f>
        <v>37.674431160818131</v>
      </c>
      <c r="F31" s="18">
        <f t="shared" ref="F31:M31" si="18">F28+F29+F30</f>
        <v>-1609.3987683089213</v>
      </c>
      <c r="G31" s="18">
        <f t="shared" si="18"/>
        <v>397.65078125000008</v>
      </c>
      <c r="H31" s="18">
        <f t="shared" si="18"/>
        <v>232.20753480753444</v>
      </c>
      <c r="I31" s="18">
        <f t="shared" si="18"/>
        <v>-915.55816326530612</v>
      </c>
      <c r="J31" s="18">
        <f t="shared" si="18"/>
        <v>440.81248490702751</v>
      </c>
      <c r="K31" s="18">
        <f t="shared" si="18"/>
        <v>-638.65767634854637</v>
      </c>
      <c r="L31" s="18">
        <f t="shared" si="18"/>
        <v>-1412.0568383125669</v>
      </c>
      <c r="M31" s="18">
        <f t="shared" si="18"/>
        <v>1418.6183406113537</v>
      </c>
      <c r="N31" s="18">
        <f t="shared" ref="N31" si="19">N28+N29+N30</f>
        <v>661.27347812500022</v>
      </c>
      <c r="O31" s="18">
        <f t="shared" ref="O31" si="20">O28+O29+O30</f>
        <v>412.5750722656262</v>
      </c>
      <c r="P31" s="18">
        <f t="shared" ref="P31" si="21">P28+P29+P30</f>
        <v>422.88944907226573</v>
      </c>
      <c r="Q31" s="18">
        <f t="shared" ref="Q31" si="22">Q28+Q29+Q30</f>
        <v>433.46168529907254</v>
      </c>
      <c r="R31" s="18">
        <f t="shared" ref="R31" si="23">R28+R29+R30</f>
        <v>546.06486053039498</v>
      </c>
      <c r="S31" s="18">
        <f t="shared" ref="S31" si="24">S28+S29+S30</f>
        <v>569.89314535353947</v>
      </c>
    </row>
    <row r="32" spans="2:22" x14ac:dyDescent="0.25">
      <c r="B32" s="34" t="s">
        <v>62</v>
      </c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40"/>
      <c r="O32" s="40"/>
      <c r="P32" s="40"/>
      <c r="Q32" s="40"/>
      <c r="R32" s="40">
        <f>S31/(D83-S14)</f>
        <v>11087.870122680175</v>
      </c>
      <c r="S32" s="18"/>
    </row>
    <row r="33" spans="1:22" x14ac:dyDescent="0.25">
      <c r="B33" s="34" t="s">
        <v>54</v>
      </c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>
        <f>N32+N31</f>
        <v>661.27347812500022</v>
      </c>
      <c r="O33" s="18">
        <f t="shared" ref="O33:R33" si="25">O32+O31</f>
        <v>412.5750722656262</v>
      </c>
      <c r="P33" s="18">
        <f t="shared" si="25"/>
        <v>422.88944907226573</v>
      </c>
      <c r="Q33" s="18">
        <f t="shared" si="25"/>
        <v>433.46168529907254</v>
      </c>
      <c r="R33" s="18">
        <f t="shared" si="25"/>
        <v>11633.934983210569</v>
      </c>
      <c r="S33" s="18"/>
    </row>
    <row r="34" spans="1:22" x14ac:dyDescent="0.25">
      <c r="B34" s="34" t="s">
        <v>55</v>
      </c>
      <c r="D34" s="41">
        <f>NPV(D83,N33:R33)</f>
        <v>10775.795811653159</v>
      </c>
      <c r="E34" s="19"/>
      <c r="F34" s="19"/>
      <c r="G34" s="19"/>
      <c r="H34" s="19"/>
      <c r="I34" s="19"/>
      <c r="J34" s="19"/>
      <c r="K34" s="19"/>
      <c r="L34" s="19"/>
      <c r="M34" s="19"/>
      <c r="N34" s="25"/>
      <c r="O34" s="25"/>
      <c r="P34" s="25"/>
      <c r="Q34" s="25"/>
      <c r="R34" s="25"/>
      <c r="S34" s="25"/>
    </row>
    <row r="35" spans="1:22" x14ac:dyDescent="0.25">
      <c r="B35" s="34" t="s">
        <v>71</v>
      </c>
      <c r="D35" s="42">
        <f>6630</f>
        <v>6630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22" x14ac:dyDescent="0.25">
      <c r="B36" t="s">
        <v>106</v>
      </c>
      <c r="D36" s="53">
        <f>'Bankruptcy risk'!M33</f>
        <v>758.6216384772996</v>
      </c>
      <c r="E36" s="19"/>
      <c r="F36" s="19"/>
      <c r="J36" s="19"/>
      <c r="K36" s="19"/>
      <c r="L36" s="19"/>
      <c r="M36" s="19"/>
      <c r="N36" s="25"/>
      <c r="O36" s="25"/>
      <c r="P36" s="25"/>
      <c r="Q36" s="25"/>
      <c r="R36" s="25"/>
      <c r="S36" s="25"/>
    </row>
    <row r="37" spans="1:22" x14ac:dyDescent="0.25">
      <c r="B37" s="34" t="s">
        <v>70</v>
      </c>
      <c r="D37" s="43">
        <f>D34-D35-D36</f>
        <v>3387.1741731758593</v>
      </c>
      <c r="E37" s="19"/>
      <c r="F37" s="19"/>
      <c r="G37" s="19"/>
      <c r="H37" s="19"/>
      <c r="I37" s="19"/>
      <c r="J37" s="19"/>
      <c r="K37" s="19"/>
      <c r="L37" s="19"/>
      <c r="M37" s="19"/>
      <c r="N37" s="25"/>
      <c r="O37" s="25"/>
      <c r="P37" s="25"/>
      <c r="Q37" s="25"/>
      <c r="R37" s="25"/>
      <c r="S37" s="25"/>
    </row>
    <row r="38" spans="1:22" x14ac:dyDescent="0.25">
      <c r="B38" s="34" t="s">
        <v>75</v>
      </c>
      <c r="D38" s="44">
        <f>D37/D91</f>
        <v>100.98024726324985</v>
      </c>
      <c r="E38" s="19"/>
      <c r="F38" s="19"/>
      <c r="G38" s="19"/>
      <c r="H38" s="19"/>
      <c r="I38" s="19"/>
      <c r="J38" s="19"/>
      <c r="K38" s="19"/>
      <c r="L38" s="19"/>
      <c r="M38" s="19"/>
      <c r="N38" s="25"/>
      <c r="O38" s="25"/>
      <c r="P38" s="25"/>
      <c r="Q38" s="25"/>
      <c r="R38" s="25"/>
      <c r="S38" s="25"/>
    </row>
    <row r="39" spans="1:22" x14ac:dyDescent="0.25">
      <c r="C39" s="33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5"/>
      <c r="O39" s="25"/>
      <c r="P39" s="25"/>
      <c r="Q39" s="25"/>
      <c r="R39" s="25"/>
      <c r="S39" s="25"/>
    </row>
    <row r="40" spans="1:22" x14ac:dyDescent="0.25">
      <c r="A40" s="49" t="s">
        <v>79</v>
      </c>
      <c r="B40" s="21" t="s">
        <v>74</v>
      </c>
      <c r="C40" s="22"/>
      <c r="D40" s="21">
        <v>2014</v>
      </c>
      <c r="E40" s="21">
        <v>2015</v>
      </c>
      <c r="F40" s="21">
        <v>2016</v>
      </c>
      <c r="G40" s="21">
        <v>2017</v>
      </c>
      <c r="H40" s="21">
        <v>2018</v>
      </c>
      <c r="I40" s="21">
        <v>2019</v>
      </c>
      <c r="J40" s="21">
        <v>2020</v>
      </c>
      <c r="K40" s="21">
        <v>2021</v>
      </c>
      <c r="L40" s="21">
        <v>2022</v>
      </c>
      <c r="M40" s="21">
        <v>2023</v>
      </c>
      <c r="N40" s="60">
        <v>2024</v>
      </c>
      <c r="O40" s="60">
        <v>2025</v>
      </c>
      <c r="P40" s="60">
        <v>2026</v>
      </c>
      <c r="Q40" s="60">
        <v>2027</v>
      </c>
      <c r="R40" s="60">
        <v>2028</v>
      </c>
      <c r="S40" s="61" t="s">
        <v>21</v>
      </c>
      <c r="V40" t="s">
        <v>107</v>
      </c>
    </row>
    <row r="41" spans="1:22" ht="5.0999999999999996" customHeight="1" x14ac:dyDescent="0.25">
      <c r="A41" s="49"/>
    </row>
    <row r="42" spans="1:22" x14ac:dyDescent="0.25">
      <c r="B42" t="s">
        <v>27</v>
      </c>
      <c r="C42" s="33"/>
      <c r="D42" s="19"/>
      <c r="E42" s="18">
        <f>E27</f>
        <v>189.5744311608178</v>
      </c>
      <c r="F42" s="18">
        <f t="shared" ref="F42:S42" si="26">F27</f>
        <v>235.60123169107891</v>
      </c>
      <c r="G42" s="18">
        <f t="shared" si="26"/>
        <v>212.05078124999994</v>
      </c>
      <c r="H42" s="18">
        <f t="shared" si="26"/>
        <v>313.80753480753481</v>
      </c>
      <c r="I42" s="18">
        <f t="shared" si="26"/>
        <v>250.34183673469443</v>
      </c>
      <c r="J42" s="18">
        <f t="shared" si="26"/>
        <v>392.91248490702748</v>
      </c>
      <c r="K42" s="18">
        <f t="shared" si="26"/>
        <v>392.94232365145302</v>
      </c>
      <c r="L42" s="18">
        <f t="shared" si="26"/>
        <v>569.54316168743378</v>
      </c>
      <c r="M42" s="18">
        <f t="shared" si="26"/>
        <v>454.21834061135331</v>
      </c>
      <c r="N42" s="18">
        <f t="shared" si="26"/>
        <v>295.36814999999956</v>
      </c>
      <c r="O42" s="18">
        <f t="shared" si="26"/>
        <v>529.20243906250062</v>
      </c>
      <c r="P42" s="18">
        <f t="shared" si="26"/>
        <v>542.43250003906189</v>
      </c>
      <c r="Q42" s="18">
        <f t="shared" si="26"/>
        <v>555.99331254003891</v>
      </c>
      <c r="R42" s="18">
        <f t="shared" si="26"/>
        <v>569.89314535353947</v>
      </c>
      <c r="S42" s="18">
        <f t="shared" si="26"/>
        <v>569.89314535353947</v>
      </c>
      <c r="V42" s="58" t="s">
        <v>111</v>
      </c>
    </row>
    <row r="43" spans="1:22" x14ac:dyDescent="0.25">
      <c r="B43" t="s">
        <v>49</v>
      </c>
      <c r="D43" s="19"/>
      <c r="E43" s="18">
        <f t="shared" ref="E43:S43" si="27">D77*$D$83</f>
        <v>-1.4751194855890859</v>
      </c>
      <c r="F43" s="18">
        <f t="shared" si="27"/>
        <v>6.3322202308214299</v>
      </c>
      <c r="G43" s="18">
        <f t="shared" si="27"/>
        <v>101.16133001869129</v>
      </c>
      <c r="H43" s="18">
        <f t="shared" si="27"/>
        <v>91.621881359271967</v>
      </c>
      <c r="I43" s="18">
        <f t="shared" si="27"/>
        <v>95.81594930436151</v>
      </c>
      <c r="J43" s="18">
        <f t="shared" si="27"/>
        <v>155.74075098548752</v>
      </c>
      <c r="K43" s="18">
        <f t="shared" si="27"/>
        <v>153.27879198340676</v>
      </c>
      <c r="L43" s="18">
        <f t="shared" si="27"/>
        <v>206.30085683823955</v>
      </c>
      <c r="M43" s="18">
        <f t="shared" si="27"/>
        <v>308.15091860281569</v>
      </c>
      <c r="N43" s="18">
        <f t="shared" si="27"/>
        <v>258.58279205570364</v>
      </c>
      <c r="O43" s="18">
        <f t="shared" si="27"/>
        <v>239.77602970733929</v>
      </c>
      <c r="P43" s="18">
        <f t="shared" si="27"/>
        <v>245.77043045002273</v>
      </c>
      <c r="Q43" s="18">
        <f t="shared" si="27"/>
        <v>251.91469121127327</v>
      </c>
      <c r="R43" s="18">
        <f t="shared" si="27"/>
        <v>258.21255849155511</v>
      </c>
      <c r="S43" s="18">
        <f t="shared" si="27"/>
        <v>259.43728208914348</v>
      </c>
      <c r="V43" s="58" t="s">
        <v>110</v>
      </c>
    </row>
    <row r="44" spans="1:22" x14ac:dyDescent="0.25">
      <c r="B44" t="s">
        <v>51</v>
      </c>
      <c r="D44" s="19"/>
      <c r="E44" s="18">
        <f>E42-E43</f>
        <v>191.04955064640689</v>
      </c>
      <c r="F44" s="18">
        <f t="shared" ref="F44:S44" si="28">F42-F43</f>
        <v>229.26901146025747</v>
      </c>
      <c r="G44" s="18">
        <f>G42-G43</f>
        <v>110.88945123130866</v>
      </c>
      <c r="H44" s="18">
        <f t="shared" si="28"/>
        <v>222.18565344826283</v>
      </c>
      <c r="I44" s="18">
        <f t="shared" si="28"/>
        <v>154.52588743033292</v>
      </c>
      <c r="J44" s="18">
        <f t="shared" si="28"/>
        <v>237.17173392153995</v>
      </c>
      <c r="K44" s="18">
        <f t="shared" si="28"/>
        <v>239.66353166804626</v>
      </c>
      <c r="L44" s="18">
        <f t="shared" si="28"/>
        <v>363.24230484919423</v>
      </c>
      <c r="M44" s="18">
        <f t="shared" si="28"/>
        <v>146.06742200853762</v>
      </c>
      <c r="N44" s="18">
        <f t="shared" si="28"/>
        <v>36.785357944295924</v>
      </c>
      <c r="O44" s="18">
        <f t="shared" si="28"/>
        <v>289.42640935516135</v>
      </c>
      <c r="P44" s="18">
        <f t="shared" si="28"/>
        <v>296.66206958903916</v>
      </c>
      <c r="Q44" s="18">
        <f t="shared" si="28"/>
        <v>304.07862132876562</v>
      </c>
      <c r="R44" s="18">
        <f t="shared" si="28"/>
        <v>311.68058686198435</v>
      </c>
      <c r="S44" s="18">
        <f t="shared" si="28"/>
        <v>310.45586326439599</v>
      </c>
    </row>
    <row r="45" spans="1:22" x14ac:dyDescent="0.25">
      <c r="B45" s="51" t="s">
        <v>109</v>
      </c>
      <c r="D45" s="19"/>
      <c r="E45" s="59"/>
      <c r="F45" s="59"/>
      <c r="G45" s="59">
        <f t="shared" ref="G45:S45" si="29">G44/F77</f>
        <v>5.6340540204912443E-2</v>
      </c>
      <c r="H45" s="59">
        <f t="shared" si="29"/>
        <v>0.12464134042873491</v>
      </c>
      <c r="I45" s="59">
        <f t="shared" si="29"/>
        <v>8.2891260288774221E-2</v>
      </c>
      <c r="J45" s="59">
        <f t="shared" si="29"/>
        <v>7.8271916412507817E-2</v>
      </c>
      <c r="K45" s="59">
        <f t="shared" si="29"/>
        <v>8.0364674290136898E-2</v>
      </c>
      <c r="L45" s="59">
        <f t="shared" si="29"/>
        <v>9.0498356881058908E-2</v>
      </c>
      <c r="M45" s="59">
        <f t="shared" si="29"/>
        <v>2.4363248825522502E-2</v>
      </c>
      <c r="N45" s="59">
        <f t="shared" si="29"/>
        <v>7.3117388082480474E-3</v>
      </c>
      <c r="O45" s="59">
        <f t="shared" si="29"/>
        <v>6.2040843693925471E-2</v>
      </c>
      <c r="P45" s="59">
        <f t="shared" si="29"/>
        <v>6.2040843693925221E-2</v>
      </c>
      <c r="Q45" s="59">
        <f t="shared" si="29"/>
        <v>6.2040843693925332E-2</v>
      </c>
      <c r="R45" s="59">
        <f t="shared" si="29"/>
        <v>6.2040843693925242E-2</v>
      </c>
      <c r="S45" s="59">
        <f t="shared" si="29"/>
        <v>6.1505334322511263E-2</v>
      </c>
    </row>
    <row r="46" spans="1:22" x14ac:dyDescent="0.25">
      <c r="B46" t="s">
        <v>53</v>
      </c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45"/>
      <c r="O46" s="45"/>
      <c r="P46" s="45"/>
      <c r="Q46" s="45"/>
      <c r="R46" s="45">
        <f>S44/(D83-S14)</f>
        <v>6040.2451209773953</v>
      </c>
      <c r="S46" s="28"/>
    </row>
    <row r="47" spans="1:22" x14ac:dyDescent="0.25">
      <c r="B47" t="s">
        <v>54</v>
      </c>
      <c r="E47" s="18"/>
      <c r="F47" s="18"/>
      <c r="G47" s="18"/>
      <c r="H47" s="18"/>
      <c r="I47" s="18"/>
      <c r="J47" s="18"/>
      <c r="K47" s="18"/>
      <c r="L47" s="18"/>
      <c r="M47" s="18"/>
      <c r="N47" s="28">
        <f>N46+N44</f>
        <v>36.785357944295924</v>
      </c>
      <c r="O47" s="28">
        <f>O46+O44</f>
        <v>289.42640935516135</v>
      </c>
      <c r="P47" s="28">
        <f>P46+P44</f>
        <v>296.66206958903916</v>
      </c>
      <c r="Q47" s="28">
        <f>Q46+Q44</f>
        <v>304.07862132876562</v>
      </c>
      <c r="R47" s="28">
        <f>R46+R44</f>
        <v>6351.9257078393794</v>
      </c>
      <c r="S47" s="28"/>
    </row>
    <row r="48" spans="1:22" x14ac:dyDescent="0.25">
      <c r="B48" t="s">
        <v>56</v>
      </c>
      <c r="D48" s="33">
        <f>NPV(D83,N47:R47)</f>
        <v>5744.7958116531618</v>
      </c>
      <c r="E48" s="19"/>
      <c r="F48" s="19"/>
      <c r="G48" s="19"/>
      <c r="H48" s="19"/>
      <c r="I48" s="19"/>
      <c r="J48" s="19"/>
      <c r="K48" s="19"/>
      <c r="L48" s="19"/>
      <c r="M48" s="19"/>
      <c r="N48" s="25"/>
      <c r="O48" s="25"/>
      <c r="P48" s="25"/>
      <c r="Q48" s="25"/>
      <c r="R48" s="25"/>
    </row>
    <row r="49" spans="1:19" x14ac:dyDescent="0.25">
      <c r="B49" t="s">
        <v>6</v>
      </c>
      <c r="D49" s="33">
        <f>M77</f>
        <v>5031</v>
      </c>
      <c r="E49" s="19"/>
      <c r="F49" s="1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25">
      <c r="B50" t="s">
        <v>69</v>
      </c>
      <c r="D50" s="33">
        <f>D49+D48</f>
        <v>10775.795811653163</v>
      </c>
      <c r="E50" s="19"/>
      <c r="F50" s="1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25">
      <c r="B51" s="34" t="s">
        <v>71</v>
      </c>
      <c r="D51" s="35">
        <f>6630</f>
        <v>6630</v>
      </c>
      <c r="E51" s="19"/>
      <c r="F51" s="19"/>
      <c r="G51" s="19"/>
      <c r="K51" s="19"/>
      <c r="L51" s="19"/>
      <c r="M51" s="19"/>
      <c r="N51" s="25"/>
      <c r="O51" s="25"/>
      <c r="P51" s="25"/>
      <c r="Q51" s="25"/>
      <c r="R51" s="25"/>
    </row>
    <row r="52" spans="1:19" x14ac:dyDescent="0.25">
      <c r="B52" t="s">
        <v>106</v>
      </c>
      <c r="D52" s="53">
        <f>'Bankruptcy risk'!M33</f>
        <v>758.6216384772996</v>
      </c>
      <c r="E52" s="19"/>
      <c r="F52" s="19"/>
      <c r="G52" s="19"/>
      <c r="H52" s="19"/>
      <c r="I52" s="19"/>
      <c r="J52" s="19"/>
      <c r="K52" s="19"/>
      <c r="L52" s="19"/>
      <c r="M52" s="19"/>
      <c r="N52" s="25"/>
      <c r="O52" s="25"/>
      <c r="P52" s="25"/>
      <c r="Q52" s="25"/>
      <c r="R52" s="25"/>
    </row>
    <row r="53" spans="1:19" x14ac:dyDescent="0.25">
      <c r="B53" t="s">
        <v>70</v>
      </c>
      <c r="D53" s="36">
        <f>D50-D51-D52</f>
        <v>3387.174173175863</v>
      </c>
      <c r="E53" s="19"/>
      <c r="F53" s="19"/>
      <c r="G53" s="19"/>
      <c r="H53" s="19"/>
      <c r="I53" s="19"/>
      <c r="J53" s="19"/>
      <c r="K53" s="19"/>
      <c r="L53" s="19"/>
      <c r="M53" s="19"/>
      <c r="N53" s="25"/>
      <c r="O53" s="25"/>
      <c r="P53" s="25"/>
      <c r="Q53" s="25"/>
      <c r="R53" s="25"/>
    </row>
    <row r="54" spans="1:19" x14ac:dyDescent="0.25">
      <c r="B54" t="s">
        <v>75</v>
      </c>
      <c r="D54" s="44">
        <f>D53/D91</f>
        <v>100.98024726324996</v>
      </c>
      <c r="E54" s="19"/>
      <c r="F54" s="19"/>
      <c r="G54" s="19"/>
      <c r="H54" s="19"/>
      <c r="I54" s="19"/>
      <c r="J54" s="19"/>
      <c r="K54" s="19"/>
      <c r="L54" s="19"/>
      <c r="M54" s="19"/>
      <c r="N54" s="25"/>
      <c r="O54" s="25"/>
      <c r="P54" s="25"/>
      <c r="Q54" s="25"/>
      <c r="R54" s="25"/>
    </row>
    <row r="55" spans="1:19" x14ac:dyDescent="0.25">
      <c r="B55" s="33"/>
      <c r="E55" s="19"/>
      <c r="F55" s="19"/>
      <c r="G55" s="19"/>
      <c r="H55" s="19"/>
      <c r="I55" s="19"/>
      <c r="J55" s="19"/>
      <c r="K55" s="19"/>
      <c r="L55" s="19"/>
      <c r="M55" s="19"/>
      <c r="N55" s="25"/>
      <c r="O55" s="25"/>
      <c r="P55" s="25"/>
      <c r="Q55" s="25"/>
      <c r="R55" s="25"/>
    </row>
    <row r="56" spans="1:19" x14ac:dyDescent="0.25">
      <c r="A56" s="49" t="s">
        <v>79</v>
      </c>
      <c r="B56" s="21" t="s">
        <v>80</v>
      </c>
      <c r="C56" s="22"/>
      <c r="D56" s="21">
        <v>2014</v>
      </c>
      <c r="E56" s="21">
        <v>2015</v>
      </c>
      <c r="F56" s="21">
        <v>2016</v>
      </c>
      <c r="G56" s="21">
        <v>2017</v>
      </c>
      <c r="H56" s="21">
        <v>2018</v>
      </c>
      <c r="I56" s="21">
        <v>2019</v>
      </c>
      <c r="J56" s="21">
        <v>2020</v>
      </c>
      <c r="K56" s="21">
        <v>2021</v>
      </c>
      <c r="L56" s="21">
        <v>2022</v>
      </c>
      <c r="M56" s="21">
        <v>2023</v>
      </c>
      <c r="N56" s="60">
        <v>2024</v>
      </c>
      <c r="O56" s="60">
        <v>2025</v>
      </c>
      <c r="P56" s="60">
        <v>2026</v>
      </c>
      <c r="Q56" s="60">
        <v>2027</v>
      </c>
      <c r="R56" s="60">
        <v>2028</v>
      </c>
      <c r="S56" s="61" t="s">
        <v>21</v>
      </c>
    </row>
    <row r="57" spans="1:19" ht="5.0999999999999996" customHeight="1" x14ac:dyDescent="0.25"/>
    <row r="58" spans="1:19" x14ac:dyDescent="0.25">
      <c r="B58" t="s">
        <v>17</v>
      </c>
      <c r="D58" s="14">
        <v>392.3</v>
      </c>
      <c r="E58" s="14">
        <v>333.9</v>
      </c>
      <c r="F58" s="14">
        <v>805.8</v>
      </c>
      <c r="G58" s="14">
        <v>828.3</v>
      </c>
      <c r="H58" s="14">
        <v>789.2</v>
      </c>
      <c r="I58" s="14">
        <v>2485.8000000000002</v>
      </c>
      <c r="J58" s="14">
        <v>2255.5</v>
      </c>
      <c r="K58" s="14">
        <v>3371.8</v>
      </c>
      <c r="L58" s="14">
        <v>4969.6000000000004</v>
      </c>
      <c r="M58" s="14">
        <v>4815</v>
      </c>
      <c r="N58" s="25">
        <f t="shared" ref="N58:S58" si="30">N59*O17</f>
        <v>3780.0174218749994</v>
      </c>
      <c r="O58" s="25">
        <f t="shared" si="30"/>
        <v>3874.5178574218739</v>
      </c>
      <c r="P58" s="25">
        <f t="shared" si="30"/>
        <v>3971.3808038574202</v>
      </c>
      <c r="Q58" s="25">
        <f t="shared" si="30"/>
        <v>4070.6653239538555</v>
      </c>
      <c r="R58" s="25">
        <f t="shared" si="30"/>
        <v>4070.6653239538555</v>
      </c>
      <c r="S58" s="25">
        <f t="shared" si="30"/>
        <v>4070.6653239538555</v>
      </c>
    </row>
    <row r="59" spans="1:19" x14ac:dyDescent="0.25">
      <c r="B59" s="51"/>
      <c r="D59" s="14"/>
      <c r="E59" s="31">
        <f t="shared" ref="E59:M59" si="31">D58/E17</f>
        <v>9.2608767498406547E-2</v>
      </c>
      <c r="F59" s="31">
        <f t="shared" si="31"/>
        <v>5.3123955897093213E-2</v>
      </c>
      <c r="G59" s="31">
        <f t="shared" si="31"/>
        <v>8.6255619781631335E-2</v>
      </c>
      <c r="H59" s="31">
        <f t="shared" si="31"/>
        <v>7.7110699423741116E-2</v>
      </c>
      <c r="I59" s="31">
        <f t="shared" si="31"/>
        <v>7.0125554242453869E-2</v>
      </c>
      <c r="J59" s="31">
        <f t="shared" si="31"/>
        <v>0.22495724020597099</v>
      </c>
      <c r="K59" s="31">
        <f t="shared" si="31"/>
        <v>0.19223393647032752</v>
      </c>
      <c r="L59" s="31">
        <f t="shared" si="31"/>
        <v>0.22516945473972422</v>
      </c>
      <c r="M59" s="31">
        <f t="shared" si="31"/>
        <v>0.34531494284820902</v>
      </c>
      <c r="N59" s="39">
        <f>$D$10</f>
        <v>0.25</v>
      </c>
      <c r="O59" s="39">
        <f t="shared" ref="O59:S59" si="32">$D$10</f>
        <v>0.25</v>
      </c>
      <c r="P59" s="39">
        <f t="shared" si="32"/>
        <v>0.25</v>
      </c>
      <c r="Q59" s="39">
        <f t="shared" si="32"/>
        <v>0.25</v>
      </c>
      <c r="R59" s="39">
        <f t="shared" si="32"/>
        <v>0.25</v>
      </c>
      <c r="S59" s="39">
        <f t="shared" si="32"/>
        <v>0.25</v>
      </c>
    </row>
    <row r="60" spans="1:19" x14ac:dyDescent="0.25">
      <c r="B60" t="s">
        <v>18</v>
      </c>
      <c r="D60" s="14">
        <v>456.7</v>
      </c>
      <c r="E60" s="14">
        <v>529</v>
      </c>
      <c r="F60" s="14">
        <v>651.1</v>
      </c>
      <c r="G60" s="14">
        <v>679.4</v>
      </c>
      <c r="H60" s="14">
        <v>722.4</v>
      </c>
      <c r="I60" s="14">
        <v>655.20000000000005</v>
      </c>
      <c r="J60" s="14">
        <v>1101.4000000000001</v>
      </c>
      <c r="K60" s="14">
        <v>898.1</v>
      </c>
      <c r="L60" s="14">
        <v>904</v>
      </c>
      <c r="M60" s="14">
        <v>931</v>
      </c>
    </row>
    <row r="61" spans="1:19" x14ac:dyDescent="0.25">
      <c r="B61" t="s">
        <v>37</v>
      </c>
      <c r="D61" s="14">
        <v>843.8</v>
      </c>
      <c r="E61" s="14">
        <v>824.6</v>
      </c>
      <c r="F61" s="14">
        <v>1395.8</v>
      </c>
      <c r="G61" s="14">
        <v>1795.2</v>
      </c>
      <c r="H61" s="14">
        <v>1983.1</v>
      </c>
      <c r="I61" s="14">
        <v>1879.9</v>
      </c>
      <c r="J61" s="14">
        <v>1455.9</v>
      </c>
      <c r="K61" s="14">
        <v>1822.1</v>
      </c>
      <c r="L61" s="14">
        <v>2334.4</v>
      </c>
      <c r="M61" s="14">
        <v>1949</v>
      </c>
    </row>
    <row r="62" spans="1:19" x14ac:dyDescent="0.25">
      <c r="B62" t="s">
        <v>39</v>
      </c>
      <c r="D62" s="14">
        <v>103.7</v>
      </c>
      <c r="E62" s="14">
        <v>108.5</v>
      </c>
      <c r="F62" s="14">
        <v>259.7</v>
      </c>
      <c r="G62" s="14">
        <v>282.39999999999998</v>
      </c>
      <c r="H62" s="14">
        <v>247.8</v>
      </c>
      <c r="I62" s="14">
        <v>253</v>
      </c>
      <c r="J62" s="14">
        <v>161.5</v>
      </c>
      <c r="K62" s="14">
        <v>161.6</v>
      </c>
      <c r="L62" s="14">
        <v>238.1</v>
      </c>
      <c r="M62" s="14"/>
    </row>
    <row r="63" spans="1:19" x14ac:dyDescent="0.25">
      <c r="B63" t="s">
        <v>28</v>
      </c>
      <c r="D63" s="14">
        <v>253.5</v>
      </c>
      <c r="E63" s="14">
        <v>265.89999999999998</v>
      </c>
      <c r="F63" s="14">
        <v>295</v>
      </c>
      <c r="G63" s="14">
        <v>389.7</v>
      </c>
      <c r="H63" s="14">
        <v>467.6</v>
      </c>
      <c r="I63" s="14">
        <v>335.3</v>
      </c>
      <c r="J63" s="14">
        <v>232.9</v>
      </c>
      <c r="K63" s="14">
        <v>400.4</v>
      </c>
      <c r="L63" s="14">
        <v>618.9</v>
      </c>
      <c r="M63" s="14">
        <v>478</v>
      </c>
    </row>
    <row r="64" spans="1:19" x14ac:dyDescent="0.25">
      <c r="B64" t="s">
        <v>35</v>
      </c>
      <c r="D64" s="14">
        <v>19.100000000000001</v>
      </c>
      <c r="E64" s="14">
        <v>16.600000000000001</v>
      </c>
      <c r="F64" s="14">
        <v>38.5</v>
      </c>
      <c r="G64" s="14">
        <v>38.4</v>
      </c>
      <c r="H64" s="14">
        <v>35.6</v>
      </c>
      <c r="I64" s="14">
        <v>47.7</v>
      </c>
      <c r="J64" s="14">
        <v>50.1</v>
      </c>
      <c r="K64" s="14">
        <v>276.7</v>
      </c>
      <c r="L64" s="14">
        <v>100.3</v>
      </c>
      <c r="M64" s="14">
        <v>0</v>
      </c>
    </row>
    <row r="65" spans="2:19" x14ac:dyDescent="0.25">
      <c r="B65" t="s">
        <v>36</v>
      </c>
      <c r="D65" s="14">
        <v>13.3</v>
      </c>
      <c r="E65" s="14">
        <v>13.6</v>
      </c>
      <c r="F65" s="14">
        <v>14.1</v>
      </c>
      <c r="G65" s="14">
        <v>12.6</v>
      </c>
      <c r="H65" s="14">
        <v>6.6</v>
      </c>
      <c r="I65" s="14">
        <v>8.1999999999999993</v>
      </c>
      <c r="J65" s="14">
        <v>0</v>
      </c>
      <c r="K65" s="14">
        <v>0</v>
      </c>
      <c r="L65" s="14">
        <v>33.6</v>
      </c>
      <c r="M65" s="14">
        <v>650</v>
      </c>
    </row>
    <row r="66" spans="2:19" x14ac:dyDescent="0.25">
      <c r="B66" t="s">
        <v>29</v>
      </c>
      <c r="D66" s="24">
        <f>SUM(D60:D65)</f>
        <v>1690.1</v>
      </c>
      <c r="E66" s="24">
        <f t="shared" ref="E66:M66" si="33">SUM(E60:E65)</f>
        <v>1758.1999999999998</v>
      </c>
      <c r="F66" s="24">
        <f t="shared" si="33"/>
        <v>2654.2</v>
      </c>
      <c r="G66" s="24">
        <f t="shared" si="33"/>
        <v>3197.7</v>
      </c>
      <c r="H66" s="24">
        <f t="shared" si="33"/>
        <v>3463.1</v>
      </c>
      <c r="I66" s="24">
        <f t="shared" si="33"/>
        <v>3179.3</v>
      </c>
      <c r="J66" s="24">
        <f t="shared" si="33"/>
        <v>3001.8</v>
      </c>
      <c r="K66" s="24">
        <f t="shared" si="33"/>
        <v>3558.8999999999996</v>
      </c>
      <c r="L66" s="24">
        <f t="shared" si="33"/>
        <v>4229.3</v>
      </c>
      <c r="M66" s="24">
        <f t="shared" si="33"/>
        <v>4008</v>
      </c>
      <c r="N66" s="25"/>
      <c r="O66" s="25"/>
      <c r="P66" s="25"/>
      <c r="Q66" s="25"/>
      <c r="R66" s="25"/>
      <c r="S66" s="25"/>
    </row>
    <row r="67" spans="2:19" x14ac:dyDescent="0.25">
      <c r="B67" s="51"/>
      <c r="D67" s="31">
        <f t="shared" ref="D67:M67" si="34">D66/D17</f>
        <v>0.4530977721776896</v>
      </c>
      <c r="E67" s="31">
        <f t="shared" si="34"/>
        <v>0.41505158046316182</v>
      </c>
      <c r="F67" s="31">
        <f t="shared" si="34"/>
        <v>0.42228692345631869</v>
      </c>
      <c r="G67" s="31">
        <f t="shared" si="34"/>
        <v>0.34229287090558763</v>
      </c>
      <c r="H67" s="31">
        <f t="shared" si="34"/>
        <v>0.32239775826917522</v>
      </c>
      <c r="I67" s="31">
        <f t="shared" si="34"/>
        <v>0.28250148834646932</v>
      </c>
      <c r="J67" s="31">
        <f t="shared" si="34"/>
        <v>0.27165365019321092</v>
      </c>
      <c r="K67" s="31">
        <f t="shared" si="34"/>
        <v>0.30332137286821043</v>
      </c>
      <c r="L67" s="31">
        <f t="shared" si="34"/>
        <v>0.28243347023272897</v>
      </c>
      <c r="M67" s="31">
        <f t="shared" si="34"/>
        <v>0.27849772435117953</v>
      </c>
      <c r="N67" s="29"/>
      <c r="O67" s="29"/>
      <c r="P67" s="29"/>
      <c r="Q67" s="29"/>
      <c r="R67" s="29"/>
      <c r="S67" s="29"/>
    </row>
    <row r="68" spans="2:19" x14ac:dyDescent="0.25">
      <c r="B68" t="s">
        <v>40</v>
      </c>
      <c r="D68" s="14">
        <v>3569.8</v>
      </c>
      <c r="E68" s="14">
        <v>3559.8</v>
      </c>
      <c r="F68" s="14">
        <v>6782.2</v>
      </c>
      <c r="G68" s="14">
        <v>7408.9</v>
      </c>
      <c r="H68" s="14">
        <v>7737.1</v>
      </c>
      <c r="I68" s="14">
        <v>9205.4</v>
      </c>
      <c r="J68" s="14">
        <v>8639.1</v>
      </c>
      <c r="K68" s="14">
        <v>11799.6</v>
      </c>
      <c r="L68" s="14">
        <v>14574.1</v>
      </c>
      <c r="M68" s="14">
        <v>14316</v>
      </c>
    </row>
    <row r="69" spans="2:19" x14ac:dyDescent="0.25"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1" spans="2:19" x14ac:dyDescent="0.25">
      <c r="B71" t="s">
        <v>30</v>
      </c>
      <c r="D71" s="14">
        <v>438</v>
      </c>
      <c r="E71" s="14">
        <v>396.5</v>
      </c>
      <c r="F71" s="14">
        <v>567.79999999999995</v>
      </c>
      <c r="G71" s="14">
        <v>652</v>
      </c>
      <c r="H71" s="14">
        <v>795.3</v>
      </c>
      <c r="I71" s="14">
        <v>677.5</v>
      </c>
      <c r="J71" s="14">
        <v>641.70000000000005</v>
      </c>
      <c r="K71" s="14">
        <v>875.4</v>
      </c>
      <c r="L71" s="14">
        <v>892.5</v>
      </c>
      <c r="M71" s="14"/>
    </row>
    <row r="72" spans="2:19" x14ac:dyDescent="0.25">
      <c r="B72" t="s">
        <v>31</v>
      </c>
      <c r="D72" s="13">
        <v>2111.1</v>
      </c>
      <c r="E72" s="13">
        <v>1968.9</v>
      </c>
      <c r="F72" s="13">
        <v>1491.8</v>
      </c>
      <c r="G72" s="13">
        <v>2243.4</v>
      </c>
      <c r="H72" s="13">
        <v>2388.1</v>
      </c>
      <c r="I72" s="13">
        <v>2635</v>
      </c>
      <c r="J72" s="13">
        <v>2275.1</v>
      </c>
      <c r="K72" s="13">
        <v>2916.9</v>
      </c>
      <c r="L72" s="13">
        <v>3203.5</v>
      </c>
      <c r="M72" s="13">
        <v>3792</v>
      </c>
      <c r="N72" s="25"/>
      <c r="O72" s="25"/>
      <c r="P72" s="25"/>
      <c r="Q72" s="25"/>
      <c r="R72" s="25"/>
      <c r="S72" s="25"/>
    </row>
    <row r="73" spans="2:19" x14ac:dyDescent="0.25">
      <c r="B73" s="51"/>
      <c r="D73" s="31">
        <f t="shared" ref="D73:M73" si="35">D72/D17</f>
        <v>0.56596337899788207</v>
      </c>
      <c r="E73" s="31">
        <f t="shared" si="35"/>
        <v>0.46479072731994048</v>
      </c>
      <c r="F73" s="31">
        <f t="shared" si="35"/>
        <v>0.23734746153723768</v>
      </c>
      <c r="G73" s="31">
        <f t="shared" si="35"/>
        <v>0.2401412973667309</v>
      </c>
      <c r="H73" s="31">
        <f t="shared" si="35"/>
        <v>0.22232048930802384</v>
      </c>
      <c r="I73" s="31">
        <f t="shared" si="35"/>
        <v>0.23413689233257212</v>
      </c>
      <c r="J73" s="31">
        <f t="shared" si="35"/>
        <v>0.20588953946118133</v>
      </c>
      <c r="K73" s="31">
        <f t="shared" si="35"/>
        <v>0.24860437565519769</v>
      </c>
      <c r="L73" s="31">
        <f t="shared" si="35"/>
        <v>0.21393034825870647</v>
      </c>
      <c r="M73" s="31">
        <f t="shared" si="35"/>
        <v>0.26348886495500817</v>
      </c>
      <c r="N73" s="29"/>
      <c r="O73" s="29"/>
      <c r="P73" s="29"/>
      <c r="Q73" s="29"/>
      <c r="R73" s="29"/>
      <c r="S73" s="29"/>
    </row>
    <row r="74" spans="2:19" x14ac:dyDescent="0.25">
      <c r="B74" t="s">
        <v>46</v>
      </c>
      <c r="D74" s="13">
        <v>2222.1999999999998</v>
      </c>
      <c r="E74" s="13">
        <v>2071.8000000000002</v>
      </c>
      <c r="F74" s="13">
        <v>4371.2</v>
      </c>
      <c r="G74" s="13">
        <v>4955.7</v>
      </c>
      <c r="H74" s="13">
        <v>5029.7</v>
      </c>
      <c r="I74" s="13">
        <v>6428.4</v>
      </c>
      <c r="J74" s="13">
        <v>5731.2</v>
      </c>
      <c r="K74" s="13">
        <v>8495.7000000000007</v>
      </c>
      <c r="L74" s="13">
        <v>10703.8</v>
      </c>
      <c r="M74" s="13">
        <v>10423</v>
      </c>
    </row>
    <row r="75" spans="2:19" x14ac:dyDescent="0.25">
      <c r="B75" t="s">
        <v>50</v>
      </c>
      <c r="D75" s="26">
        <f>D66-D72</f>
        <v>-421</v>
      </c>
      <c r="E75" s="26">
        <f t="shared" ref="E75:M75" si="36">E66-E72</f>
        <v>-210.70000000000027</v>
      </c>
      <c r="F75" s="26">
        <f t="shared" si="36"/>
        <v>1162.3999999999999</v>
      </c>
      <c r="G75" s="26">
        <f t="shared" si="36"/>
        <v>954.29999999999973</v>
      </c>
      <c r="H75" s="26">
        <f t="shared" si="36"/>
        <v>1075</v>
      </c>
      <c r="I75" s="26">
        <f t="shared" si="36"/>
        <v>544.30000000000018</v>
      </c>
      <c r="J75" s="26">
        <f t="shared" si="36"/>
        <v>726.70000000000027</v>
      </c>
      <c r="K75" s="26">
        <f t="shared" si="36"/>
        <v>641.99999999999955</v>
      </c>
      <c r="L75" s="26">
        <f t="shared" si="36"/>
        <v>1025.8000000000002</v>
      </c>
      <c r="M75" s="26">
        <f t="shared" si="36"/>
        <v>216</v>
      </c>
      <c r="N75" s="25">
        <f t="shared" ref="N75:S75" si="37">N76*N17</f>
        <v>885.07724999999994</v>
      </c>
      <c r="O75" s="25">
        <f t="shared" si="37"/>
        <v>907.20418124999981</v>
      </c>
      <c r="P75" s="25">
        <f t="shared" si="37"/>
        <v>929.88428578124967</v>
      </c>
      <c r="Q75" s="25">
        <f t="shared" si="37"/>
        <v>953.1313929257808</v>
      </c>
      <c r="R75" s="25">
        <f t="shared" si="37"/>
        <v>976.95967774892529</v>
      </c>
      <c r="S75" s="25">
        <f t="shared" si="37"/>
        <v>976.95967774892529</v>
      </c>
    </row>
    <row r="76" spans="2:19" x14ac:dyDescent="0.25">
      <c r="B76" s="51"/>
      <c r="D76" s="26"/>
      <c r="E76" s="31">
        <f t="shared" ref="E76:M76" si="38">D75/E17</f>
        <v>-9.9383867236373075E-2</v>
      </c>
      <c r="F76" s="31">
        <f t="shared" si="38"/>
        <v>-3.3522663993763267E-2</v>
      </c>
      <c r="G76" s="31">
        <f t="shared" si="38"/>
        <v>0.12442731749090129</v>
      </c>
      <c r="H76" s="31">
        <f t="shared" si="38"/>
        <v>8.8840686297327207E-2</v>
      </c>
      <c r="I76" s="31">
        <f t="shared" si="38"/>
        <v>9.5520743551239101E-2</v>
      </c>
      <c r="J76" s="31">
        <f t="shared" si="38"/>
        <v>4.9257472783051752E-2</v>
      </c>
      <c r="K76" s="31">
        <f t="shared" si="38"/>
        <v>6.193589077055512E-2</v>
      </c>
      <c r="L76" s="31">
        <f t="shared" si="38"/>
        <v>4.2872883902634447E-2</v>
      </c>
      <c r="M76" s="31">
        <f t="shared" si="38"/>
        <v>7.1278185039780437E-2</v>
      </c>
      <c r="N76" s="39">
        <f>$D$12</f>
        <v>0.06</v>
      </c>
      <c r="O76" s="39">
        <f t="shared" ref="O76:S76" si="39">$D$12</f>
        <v>0.06</v>
      </c>
      <c r="P76" s="39">
        <f t="shared" si="39"/>
        <v>0.06</v>
      </c>
      <c r="Q76" s="39">
        <f t="shared" si="39"/>
        <v>0.06</v>
      </c>
      <c r="R76" s="39">
        <f t="shared" si="39"/>
        <v>0.06</v>
      </c>
      <c r="S76" s="39">
        <f t="shared" si="39"/>
        <v>0.06</v>
      </c>
    </row>
    <row r="77" spans="2:19" x14ac:dyDescent="0.25">
      <c r="B77" t="s">
        <v>52</v>
      </c>
      <c r="D77" s="11">
        <f>D75+D58</f>
        <v>-28.699999999999989</v>
      </c>
      <c r="E77" s="11">
        <f t="shared" ref="E77:M77" si="40">E75+E58</f>
        <v>123.1999999999997</v>
      </c>
      <c r="F77" s="11">
        <f t="shared" si="40"/>
        <v>1968.1999999999998</v>
      </c>
      <c r="G77" s="11">
        <f t="shared" si="40"/>
        <v>1782.5999999999997</v>
      </c>
      <c r="H77" s="11">
        <f t="shared" si="40"/>
        <v>1864.2</v>
      </c>
      <c r="I77" s="11">
        <f t="shared" si="40"/>
        <v>3030.1000000000004</v>
      </c>
      <c r="J77" s="11">
        <f t="shared" si="40"/>
        <v>2982.2000000000003</v>
      </c>
      <c r="K77" s="11">
        <f t="shared" si="40"/>
        <v>4013.7999999999997</v>
      </c>
      <c r="L77" s="11">
        <f t="shared" si="40"/>
        <v>5995.4000000000005</v>
      </c>
      <c r="M77" s="11">
        <f t="shared" si="40"/>
        <v>5031</v>
      </c>
      <c r="N77" s="11">
        <f t="shared" ref="N77" si="41">N75+N58</f>
        <v>4665.0946718749992</v>
      </c>
      <c r="O77" s="11">
        <f t="shared" ref="O77" si="42">O75+O58</f>
        <v>4781.7220386718736</v>
      </c>
      <c r="P77" s="11">
        <f t="shared" ref="P77" si="43">P75+P58</f>
        <v>4901.2650896386695</v>
      </c>
      <c r="Q77" s="11">
        <f t="shared" ref="Q77" si="44">Q75+Q58</f>
        <v>5023.7967168796367</v>
      </c>
      <c r="R77" s="11">
        <f t="shared" ref="R77" si="45">R75+R58</f>
        <v>5047.6250017027805</v>
      </c>
      <c r="S77" s="11">
        <f t="shared" ref="S77" si="46">S75+S58</f>
        <v>5047.6250017027805</v>
      </c>
    </row>
    <row r="78" spans="2:19" x14ac:dyDescent="0.2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2:19" x14ac:dyDescent="0.2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2:19" x14ac:dyDescent="0.2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x14ac:dyDescent="0.25">
      <c r="A81" s="49" t="s">
        <v>79</v>
      </c>
      <c r="B81" s="21" t="s">
        <v>81</v>
      </c>
      <c r="C81" s="21"/>
      <c r="D81" s="2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ht="5.0999999999999996" customHeight="1" x14ac:dyDescent="0.25"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x14ac:dyDescent="0.25">
      <c r="B83" t="s">
        <v>25</v>
      </c>
      <c r="D83" s="9">
        <f>E93*D90 + E92*D89*(1-D84)</f>
        <v>5.1397891483940299E-2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x14ac:dyDescent="0.25">
      <c r="B84" t="s">
        <v>26</v>
      </c>
      <c r="D84" s="16">
        <v>0.3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x14ac:dyDescent="0.25">
      <c r="B85" t="s">
        <v>24</v>
      </c>
      <c r="D85">
        <v>100.8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x14ac:dyDescent="0.25">
      <c r="B86" t="s">
        <v>14</v>
      </c>
      <c r="D86" s="6">
        <v>4.1000000000000002E-2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x14ac:dyDescent="0.25">
      <c r="B87" t="s">
        <v>15</v>
      </c>
      <c r="D87" s="6">
        <v>4.5999999999999999E-2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x14ac:dyDescent="0.25">
      <c r="B88" t="s">
        <v>12</v>
      </c>
      <c r="D88" s="8">
        <f>'Beta regression'!M3</f>
        <v>1.8162071176534866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x14ac:dyDescent="0.25">
      <c r="B89" t="s">
        <v>8</v>
      </c>
      <c r="D89" s="6">
        <v>2.9000000000000001E-2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x14ac:dyDescent="0.25">
      <c r="B90" t="s">
        <v>19</v>
      </c>
      <c r="D90" s="9">
        <f>D86+D88*D87</f>
        <v>0.12454552741206038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x14ac:dyDescent="0.25">
      <c r="B91" t="s">
        <v>23</v>
      </c>
      <c r="D91" s="17">
        <f>33542938/1000000</f>
        <v>33.542937999999999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B92" t="s">
        <v>5</v>
      </c>
      <c r="D92" s="19">
        <f>7953000000/1000000</f>
        <v>7953</v>
      </c>
      <c r="E92" s="9">
        <f>D92/$D$94</f>
        <v>0.70168608422865997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x14ac:dyDescent="0.25">
      <c r="B93" t="s">
        <v>22</v>
      </c>
      <c r="D93" s="17">
        <f>D91*D85</f>
        <v>3381.1281503999999</v>
      </c>
      <c r="E93" s="9">
        <f>1-E92</f>
        <v>0.29831391577134003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x14ac:dyDescent="0.25">
      <c r="B94" t="s">
        <v>6</v>
      </c>
      <c r="D94" s="20">
        <f>D93+D92</f>
        <v>11334.1281504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x14ac:dyDescent="0.25"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x14ac:dyDescent="0.25"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x14ac:dyDescent="0.25"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x14ac:dyDescent="0.25"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x14ac:dyDescent="0.25"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x14ac:dyDescent="0.25"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x14ac:dyDescent="0.25"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x14ac:dyDescent="0.25">
      <c r="A103" s="49" t="s">
        <v>79</v>
      </c>
      <c r="B103" s="21" t="s">
        <v>82</v>
      </c>
      <c r="C103" s="21"/>
      <c r="D103" s="21">
        <v>2014</v>
      </c>
      <c r="E103" s="21">
        <v>2015</v>
      </c>
      <c r="F103" s="21">
        <v>2016</v>
      </c>
      <c r="G103" s="21">
        <v>2017</v>
      </c>
      <c r="H103" s="21">
        <v>2018</v>
      </c>
      <c r="I103" s="21">
        <v>2019</v>
      </c>
      <c r="J103" s="21">
        <v>2020</v>
      </c>
      <c r="K103" s="21">
        <v>2021</v>
      </c>
      <c r="L103" s="21">
        <v>2022</v>
      </c>
      <c r="M103" s="21">
        <v>2023</v>
      </c>
      <c r="N103" s="11"/>
      <c r="O103" s="11"/>
      <c r="P103" s="11"/>
      <c r="Q103" s="11"/>
      <c r="R103" s="11"/>
      <c r="S103" s="11"/>
    </row>
    <row r="104" spans="1:19" ht="5.0999999999999996" customHeight="1" x14ac:dyDescent="0.25"/>
    <row r="105" spans="1:19" x14ac:dyDescent="0.25">
      <c r="B105" t="s">
        <v>32</v>
      </c>
      <c r="D105" s="17"/>
      <c r="E105" s="17">
        <f t="shared" ref="E105:M105" si="47">AVERAGE(D63:E63)/(E18/365)</f>
        <v>29.148370233702337</v>
      </c>
      <c r="F105" s="17">
        <f t="shared" si="47"/>
        <v>20.10729929874875</v>
      </c>
      <c r="G105" s="17">
        <f t="shared" si="47"/>
        <v>15.604114635364636</v>
      </c>
      <c r="H105" s="17">
        <f t="shared" si="47"/>
        <v>16.76890634713082</v>
      </c>
      <c r="I105" s="17">
        <f t="shared" si="47"/>
        <v>14.982694097076658</v>
      </c>
      <c r="J105" s="17">
        <f t="shared" si="47"/>
        <v>10.940180408292452</v>
      </c>
      <c r="K105" s="17">
        <f t="shared" si="47"/>
        <v>11.456563543907299</v>
      </c>
      <c r="L105" s="17">
        <f t="shared" si="47"/>
        <v>14.5971931228764</v>
      </c>
      <c r="M105" s="17">
        <f t="shared" si="47"/>
        <v>16.599438626168148</v>
      </c>
    </row>
    <row r="106" spans="1:19" x14ac:dyDescent="0.25">
      <c r="B106" t="s">
        <v>33</v>
      </c>
      <c r="E106" s="17">
        <f t="shared" ref="E106:M106" si="48">AVERAGE(D61:E61)/(E17/365)</f>
        <v>71.878142631193782</v>
      </c>
      <c r="F106" s="17">
        <f t="shared" si="48"/>
        <v>64.471544715447166</v>
      </c>
      <c r="G106" s="17">
        <f t="shared" si="48"/>
        <v>62.337561549989296</v>
      </c>
      <c r="H106" s="17">
        <f t="shared" si="48"/>
        <v>64.192795367586129</v>
      </c>
      <c r="I106" s="17">
        <f t="shared" si="48"/>
        <v>62.64361432722297</v>
      </c>
      <c r="J106" s="17">
        <f t="shared" si="48"/>
        <v>55.093030832300158</v>
      </c>
      <c r="K106" s="17">
        <f t="shared" si="48"/>
        <v>50.986951445057144</v>
      </c>
      <c r="L106" s="17">
        <f t="shared" si="48"/>
        <v>50.656866673344688</v>
      </c>
      <c r="M106" s="17">
        <f t="shared" si="48"/>
        <v>54.318208664836881</v>
      </c>
    </row>
    <row r="107" spans="1:19" x14ac:dyDescent="0.25">
      <c r="B107" t="s">
        <v>34</v>
      </c>
      <c r="E107" s="17">
        <f t="shared" ref="E107:M107" si="49">AVERAGE(D71:E71)/(E18/365)</f>
        <v>46.831565190651908</v>
      </c>
      <c r="F107" s="17">
        <f t="shared" si="49"/>
        <v>34.568494765169227</v>
      </c>
      <c r="G107" s="17">
        <f t="shared" si="49"/>
        <v>27.798888611388612</v>
      </c>
      <c r="H107" s="17">
        <f t="shared" si="49"/>
        <v>28.309387794473857</v>
      </c>
      <c r="I107" s="17">
        <f t="shared" si="49"/>
        <v>27.48351210135073</v>
      </c>
      <c r="J107" s="17">
        <f t="shared" si="49"/>
        <v>25.40001055019254</v>
      </c>
      <c r="K107" s="17">
        <f t="shared" si="49"/>
        <v>27.444737963779822</v>
      </c>
      <c r="L107" s="17">
        <f t="shared" si="49"/>
        <v>25.317745238823889</v>
      </c>
      <c r="M107" s="17">
        <f t="shared" si="49"/>
        <v>27.012487872832658</v>
      </c>
    </row>
    <row r="108" spans="1:19" x14ac:dyDescent="0.25">
      <c r="B108" t="s">
        <v>38</v>
      </c>
      <c r="E108" s="17">
        <f>E105+E106-E107</f>
        <v>54.194947674244212</v>
      </c>
      <c r="F108" s="17">
        <f t="shared" ref="F108:M108" si="50">F105+F106-F107</f>
        <v>50.010349249026682</v>
      </c>
      <c r="G108" s="17">
        <f t="shared" si="50"/>
        <v>50.142787573965315</v>
      </c>
      <c r="H108" s="17">
        <f t="shared" si="50"/>
        <v>52.652313920243095</v>
      </c>
      <c r="I108" s="17">
        <f t="shared" si="50"/>
        <v>50.142796322948897</v>
      </c>
      <c r="J108" s="17">
        <f t="shared" si="50"/>
        <v>40.633200690400066</v>
      </c>
      <c r="K108" s="17">
        <f t="shared" si="50"/>
        <v>34.998777025184623</v>
      </c>
      <c r="L108" s="17">
        <f t="shared" si="50"/>
        <v>39.936314557397196</v>
      </c>
      <c r="M108" s="17">
        <f t="shared" si="50"/>
        <v>43.905159418172367</v>
      </c>
      <c r="O108" s="11"/>
      <c r="P108" s="33"/>
    </row>
    <row r="109" spans="1:19" x14ac:dyDescent="0.25"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9" x14ac:dyDescent="0.25">
      <c r="B110" s="2" t="s">
        <v>47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23" t="s">
        <v>77</v>
      </c>
      <c r="O110" s="23" t="s">
        <v>78</v>
      </c>
      <c r="P110" s="11"/>
    </row>
    <row r="111" spans="1:19" x14ac:dyDescent="0.25">
      <c r="B111" s="2" t="s">
        <v>41</v>
      </c>
      <c r="D111" s="27">
        <v>87.8</v>
      </c>
      <c r="E111" s="50">
        <v>174.5</v>
      </c>
      <c r="F111" s="50">
        <v>217.3</v>
      </c>
      <c r="G111" s="50">
        <v>164.5</v>
      </c>
      <c r="H111" s="50">
        <v>253.9</v>
      </c>
      <c r="I111" s="50">
        <v>148.19999999999999</v>
      </c>
      <c r="J111" s="50">
        <v>287.10000000000002</v>
      </c>
      <c r="K111" s="50">
        <v>322.3</v>
      </c>
      <c r="L111" s="50">
        <v>470</v>
      </c>
      <c r="M111" s="50">
        <v>289</v>
      </c>
      <c r="N111" s="27">
        <f>AVERAGE(D111:M111)</f>
        <v>241.46000000000004</v>
      </c>
      <c r="O111" s="27">
        <f>_xlfn.STDEV.S(D111:M111)</f>
        <v>108.81302209652003</v>
      </c>
      <c r="P111" s="11"/>
    </row>
    <row r="112" spans="1:19" x14ac:dyDescent="0.25">
      <c r="B112" t="s">
        <v>45</v>
      </c>
      <c r="D112" s="9">
        <f t="shared" ref="D112:O112" si="51">D111/D17</f>
        <v>2.3538242942548457E-2</v>
      </c>
      <c r="E112" s="9">
        <f t="shared" si="51"/>
        <v>4.1193550671608313E-2</v>
      </c>
      <c r="F112" s="9">
        <f t="shared" si="51"/>
        <v>3.4572733202870187E-2</v>
      </c>
      <c r="G112" s="9">
        <f t="shared" si="51"/>
        <v>1.7608649111539285E-2</v>
      </c>
      <c r="H112" s="9">
        <f t="shared" si="51"/>
        <v>2.36368545016152E-2</v>
      </c>
      <c r="I112" s="9">
        <f t="shared" si="51"/>
        <v>1.3168534134226636E-2</v>
      </c>
      <c r="J112" s="9">
        <f t="shared" si="51"/>
        <v>2.5981665324295709E-2</v>
      </c>
      <c r="K112" s="9">
        <f t="shared" si="51"/>
        <v>2.7469296264414349E-2</v>
      </c>
      <c r="L112" s="9">
        <f t="shared" si="51"/>
        <v>3.1386690707536143E-2</v>
      </c>
      <c r="M112" s="9">
        <f t="shared" si="51"/>
        <v>2.0081297988395929E-2</v>
      </c>
      <c r="N112" s="9">
        <f t="shared" si="51"/>
        <v>1.636874069466818E-2</v>
      </c>
      <c r="O112" s="9">
        <f t="shared" si="51"/>
        <v>7.1965952767054694E-3</v>
      </c>
    </row>
    <row r="113" spans="2:15" x14ac:dyDescent="0.25">
      <c r="B113" t="s">
        <v>43</v>
      </c>
      <c r="D113" s="9">
        <f t="shared" ref="D113:M113" si="52">D17/D68</f>
        <v>1.0449044764412572</v>
      </c>
      <c r="E113" s="9">
        <f t="shared" si="52"/>
        <v>1.1899825832911961</v>
      </c>
      <c r="F113" s="9">
        <f t="shared" si="52"/>
        <v>0.92673468785939672</v>
      </c>
      <c r="G113" s="9">
        <f t="shared" si="52"/>
        <v>1.2609159254410236</v>
      </c>
      <c r="H113" s="9">
        <f t="shared" si="52"/>
        <v>1.3883367153067687</v>
      </c>
      <c r="I113" s="9">
        <f t="shared" si="52"/>
        <v>1.222554152997154</v>
      </c>
      <c r="J113" s="9">
        <f t="shared" si="52"/>
        <v>1.2790799967589217</v>
      </c>
      <c r="K113" s="9">
        <f t="shared" si="52"/>
        <v>0.99436421573612666</v>
      </c>
      <c r="L113" s="9">
        <f t="shared" si="52"/>
        <v>1.0274733945835419</v>
      </c>
      <c r="M113" s="9">
        <f t="shared" si="52"/>
        <v>1.0052738195026543</v>
      </c>
      <c r="N113" s="46">
        <f>AVERAGE(D113:M113)</f>
        <v>1.1339619967918042</v>
      </c>
      <c r="O113" s="46">
        <f>_xlfn.STDEV.S(D113:M113)</f>
        <v>0.15316378921295742</v>
      </c>
    </row>
    <row r="114" spans="2:15" x14ac:dyDescent="0.25">
      <c r="B114" t="s">
        <v>44</v>
      </c>
      <c r="D114" s="9">
        <f>D68/(D68-D74)</f>
        <v>2.6490056396556838</v>
      </c>
      <c r="E114" s="9">
        <f t="shared" ref="E114:M114" si="53">E68/(E68-E74)</f>
        <v>2.3923387096774196</v>
      </c>
      <c r="F114" s="9">
        <f t="shared" si="53"/>
        <v>2.8130236416424719</v>
      </c>
      <c r="G114" s="9">
        <f t="shared" si="53"/>
        <v>3.0200962008804826</v>
      </c>
      <c r="H114" s="9">
        <f t="shared" si="53"/>
        <v>2.8577602127502395</v>
      </c>
      <c r="I114" s="9">
        <f t="shared" si="53"/>
        <v>3.3148721642059775</v>
      </c>
      <c r="J114" s="9">
        <f t="shared" si="53"/>
        <v>2.9709068399876193</v>
      </c>
      <c r="K114" s="9">
        <f t="shared" si="53"/>
        <v>3.5714155997457557</v>
      </c>
      <c r="L114" s="9">
        <f t="shared" si="53"/>
        <v>3.7656254037154735</v>
      </c>
      <c r="M114" s="9">
        <f t="shared" si="53"/>
        <v>3.6773696378114566</v>
      </c>
      <c r="N114" s="46">
        <f>AVERAGE(D114:M114)</f>
        <v>3.1032414050072576</v>
      </c>
      <c r="O114" s="46">
        <f>_xlfn.STDEV.S(D114:M114)</f>
        <v>0.46103460282884956</v>
      </c>
    </row>
    <row r="115" spans="2:15" x14ac:dyDescent="0.25">
      <c r="B115" t="s">
        <v>42</v>
      </c>
      <c r="D115" s="9">
        <f>D112*D113*D114</f>
        <v>6.5152864351439577E-2</v>
      </c>
      <c r="E115" s="9">
        <f t="shared" ref="E115:M115" si="54">E112*E113*E114</f>
        <v>0.11727150537634408</v>
      </c>
      <c r="F115" s="9">
        <f t="shared" si="54"/>
        <v>9.0128577353795092E-2</v>
      </c>
      <c r="G115" s="9">
        <f t="shared" si="54"/>
        <v>6.7055274743192561E-2</v>
      </c>
      <c r="H115" s="9">
        <f t="shared" si="54"/>
        <v>9.3780010342025544E-2</v>
      </c>
      <c r="I115" s="9">
        <f t="shared" si="54"/>
        <v>5.3366942743968304E-2</v>
      </c>
      <c r="J115" s="9">
        <f t="shared" si="54"/>
        <v>9.8731043020736597E-2</v>
      </c>
      <c r="K115" s="9">
        <f t="shared" si="54"/>
        <v>9.7551378673688682E-2</v>
      </c>
      <c r="L115" s="9">
        <f t="shared" si="54"/>
        <v>0.12143761465519463</v>
      </c>
      <c r="M115" s="9">
        <f t="shared" si="54"/>
        <v>7.4235807860262015E-2</v>
      </c>
      <c r="N115" s="46">
        <f>AVERAGE(D115:M115)</f>
        <v>8.7871101912064709E-2</v>
      </c>
      <c r="O115" s="46">
        <f>_xlfn.STDEV.S(D115:M115)</f>
        <v>2.2530540253985345E-2</v>
      </c>
    </row>
    <row r="116" spans="2:15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2:15" x14ac:dyDescent="0.25">
      <c r="B117" t="s">
        <v>83</v>
      </c>
      <c r="D117" s="5">
        <f t="shared" ref="D117:M117" si="55">(D112-$N$112)/$O$112</f>
        <v>0.99623529908470887</v>
      </c>
      <c r="E117" s="5">
        <f t="shared" si="55"/>
        <v>3.4495214782044386</v>
      </c>
      <c r="F117" s="5">
        <f t="shared" si="55"/>
        <v>2.5295284517563723</v>
      </c>
      <c r="G117" s="5">
        <f t="shared" si="55"/>
        <v>0.17229097499543186</v>
      </c>
      <c r="H117" s="5">
        <f t="shared" si="55"/>
        <v>1.0099378285830589</v>
      </c>
      <c r="I117" s="5">
        <f t="shared" si="55"/>
        <v>-0.4446834145029992</v>
      </c>
      <c r="J117" s="5">
        <f t="shared" si="55"/>
        <v>1.3357600726476078</v>
      </c>
      <c r="K117" s="5">
        <f t="shared" si="55"/>
        <v>1.5424732311510359</v>
      </c>
      <c r="L117" s="5">
        <f t="shared" si="55"/>
        <v>2.0868131992192609</v>
      </c>
      <c r="M117" s="5">
        <f t="shared" si="55"/>
        <v>0.51587690442240919</v>
      </c>
    </row>
    <row r="118" spans="2:15" x14ac:dyDescent="0.25">
      <c r="B118" t="s">
        <v>84</v>
      </c>
      <c r="D118" s="5">
        <f t="shared" ref="D118:M118" si="56">(D113-$N$113)/$O$113</f>
        <v>-0.5814528408325178</v>
      </c>
      <c r="E118" s="5">
        <f t="shared" si="56"/>
        <v>0.36575607581437819</v>
      </c>
      <c r="F118" s="5">
        <f t="shared" si="56"/>
        <v>-1.3529784683263528</v>
      </c>
      <c r="G118" s="5">
        <f t="shared" si="56"/>
        <v>0.82887691210553627</v>
      </c>
      <c r="H118" s="5">
        <f t="shared" si="56"/>
        <v>1.6608019416474766</v>
      </c>
      <c r="I118" s="5">
        <f t="shared" si="56"/>
        <v>0.57841449771245934</v>
      </c>
      <c r="J118" s="5">
        <f t="shared" si="56"/>
        <v>0.9474693771472763</v>
      </c>
      <c r="K118" s="5">
        <f t="shared" si="56"/>
        <v>-0.9114280978096081</v>
      </c>
      <c r="L118" s="5">
        <f t="shared" si="56"/>
        <v>-0.69525964822012587</v>
      </c>
      <c r="M118" s="5">
        <f t="shared" si="56"/>
        <v>-0.84019974923853036</v>
      </c>
    </row>
    <row r="119" spans="2:15" x14ac:dyDescent="0.25">
      <c r="B119" t="s">
        <v>85</v>
      </c>
      <c r="D119" s="5">
        <f t="shared" ref="D119:M119" si="57">(D114-$N$114)/$O$114</f>
        <v>-0.985253086350658</v>
      </c>
      <c r="E119" s="5">
        <f t="shared" si="57"/>
        <v>-1.5419725351802875</v>
      </c>
      <c r="F119" s="5">
        <f t="shared" si="57"/>
        <v>-0.62949236691572952</v>
      </c>
      <c r="G119" s="5">
        <f t="shared" si="57"/>
        <v>-0.18034482361325307</v>
      </c>
      <c r="H119" s="5">
        <f t="shared" si="57"/>
        <v>-0.53245719681511283</v>
      </c>
      <c r="I119" s="5">
        <f t="shared" si="57"/>
        <v>0.45903443667824606</v>
      </c>
      <c r="J119" s="5">
        <f t="shared" si="57"/>
        <v>-0.28703824877276096</v>
      </c>
      <c r="K119" s="5">
        <f t="shared" si="57"/>
        <v>1.0154860217993202</v>
      </c>
      <c r="L119" s="5">
        <f t="shared" si="57"/>
        <v>1.4367338040223272</v>
      </c>
      <c r="M119" s="5">
        <f t="shared" si="57"/>
        <v>1.2453039951479159</v>
      </c>
    </row>
    <row r="120" spans="2:15" x14ac:dyDescent="0.25">
      <c r="B120" t="s">
        <v>86</v>
      </c>
      <c r="D120" s="5">
        <f>(D115-$N$115)/$O$115</f>
        <v>-1.0083307947578659</v>
      </c>
      <c r="E120" s="5">
        <f t="shared" ref="E120:M120" si="58">(E115-$N$115)/$O$115</f>
        <v>1.3049133812527571</v>
      </c>
      <c r="F120" s="5">
        <f t="shared" si="58"/>
        <v>0.10019624102582568</v>
      </c>
      <c r="G120" s="5">
        <f t="shared" si="58"/>
        <v>-0.92389383184853335</v>
      </c>
      <c r="H120" s="5">
        <f t="shared" si="58"/>
        <v>0.26226217229369941</v>
      </c>
      <c r="I120" s="5">
        <f t="shared" si="58"/>
        <v>-1.5314394940881673</v>
      </c>
      <c r="J120" s="5">
        <f t="shared" si="58"/>
        <v>0.4820097958703371</v>
      </c>
      <c r="K120" s="5">
        <f t="shared" si="58"/>
        <v>0.42965133780632114</v>
      </c>
      <c r="L120" s="5">
        <f t="shared" si="58"/>
        <v>1.4898228078304721</v>
      </c>
      <c r="M120" s="5">
        <f t="shared" si="58"/>
        <v>-0.60519161538484623</v>
      </c>
    </row>
    <row r="121" spans="2:15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2:15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4" spans="2:15" x14ac:dyDescent="0.25">
      <c r="M124" s="23"/>
    </row>
    <row r="126" spans="2:15" x14ac:dyDescent="0.25"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2:15" x14ac:dyDescent="0.25"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2:15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30" spans="2:18" x14ac:dyDescent="0.25"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2" spans="2:18" x14ac:dyDescent="0.25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2:18" x14ac:dyDescent="0.25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8" x14ac:dyDescent="0.25"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6" spans="2:18" x14ac:dyDescent="0.25">
      <c r="B136" t="s">
        <v>87</v>
      </c>
      <c r="D136" s="17">
        <f t="shared" ref="D136:M136" si="59">D17/D66</f>
        <v>2.2070291698716051</v>
      </c>
      <c r="E136" s="17">
        <f t="shared" si="59"/>
        <v>2.4093390968035497</v>
      </c>
      <c r="F136" s="17">
        <f t="shared" si="59"/>
        <v>2.3680581719538845</v>
      </c>
      <c r="G136" s="17">
        <f t="shared" si="59"/>
        <v>2.9214748100197019</v>
      </c>
      <c r="H136" s="17">
        <f t="shared" si="59"/>
        <v>3.1017585400363838</v>
      </c>
      <c r="I136" s="17">
        <f t="shared" si="59"/>
        <v>3.5398043594501933</v>
      </c>
      <c r="J136" s="17">
        <f t="shared" si="59"/>
        <v>3.6811579718835366</v>
      </c>
      <c r="K136" s="17">
        <f t="shared" si="59"/>
        <v>3.2968332911854792</v>
      </c>
      <c r="L136" s="17">
        <f t="shared" si="59"/>
        <v>3.5406568462866193</v>
      </c>
      <c r="M136" s="17">
        <f t="shared" si="59"/>
        <v>3.5906936127744511</v>
      </c>
    </row>
    <row r="137" spans="2:18" x14ac:dyDescent="0.25">
      <c r="B137" s="51" t="s">
        <v>88</v>
      </c>
    </row>
    <row r="138" spans="2:18" x14ac:dyDescent="0.25">
      <c r="B138" t="s">
        <v>89</v>
      </c>
      <c r="J138" s="5"/>
      <c r="K138" s="5"/>
      <c r="L138" s="5"/>
      <c r="M138" s="5"/>
      <c r="N138" s="5"/>
      <c r="O138" s="5"/>
      <c r="P138" s="5"/>
      <c r="Q138" s="5"/>
      <c r="R138" s="5"/>
    </row>
    <row r="139" spans="2:18" x14ac:dyDescent="0.25">
      <c r="B139" t="s">
        <v>90</v>
      </c>
    </row>
    <row r="144" spans="2:18" x14ac:dyDescent="0.25">
      <c r="B144" t="s">
        <v>92</v>
      </c>
      <c r="D144">
        <v>-34.9</v>
      </c>
      <c r="E144">
        <v>-23</v>
      </c>
      <c r="F144">
        <v>-44.5</v>
      </c>
      <c r="G144">
        <v>-76</v>
      </c>
      <c r="H144">
        <v>-86.6</v>
      </c>
      <c r="I144">
        <v>-135.30000000000001</v>
      </c>
      <c r="J144">
        <v>-109.5</v>
      </c>
      <c r="K144">
        <v>-91.7</v>
      </c>
      <c r="L144">
        <v>-187.6</v>
      </c>
      <c r="M144">
        <v>-305.60000000000002</v>
      </c>
    </row>
    <row r="145" spans="2:13" x14ac:dyDescent="0.25">
      <c r="B145" t="s">
        <v>93</v>
      </c>
      <c r="D145">
        <v>-215.2</v>
      </c>
      <c r="E145">
        <v>-125.1</v>
      </c>
      <c r="F145">
        <v>-881.8</v>
      </c>
      <c r="G145">
        <v>-105.5</v>
      </c>
      <c r="H145">
        <v>-225</v>
      </c>
      <c r="I145" s="1">
        <v>-1152.5</v>
      </c>
      <c r="J145" s="1">
        <v>-1117.4000000000001</v>
      </c>
      <c r="K145" s="1">
        <v>-2922.7</v>
      </c>
      <c r="L145">
        <v>-894.6</v>
      </c>
      <c r="M145" s="1">
        <v>-1233.5999999999999</v>
      </c>
    </row>
    <row r="146" spans="2:13" x14ac:dyDescent="0.25">
      <c r="D146">
        <f xml:space="preserve"> - D144+ -D145</f>
        <v>250.1</v>
      </c>
      <c r="E146">
        <f t="shared" ref="E146:M146" si="60" xml:space="preserve"> - E144+ -E145</f>
        <v>148.1</v>
      </c>
      <c r="F146">
        <f t="shared" si="60"/>
        <v>926.3</v>
      </c>
      <c r="G146">
        <f t="shared" si="60"/>
        <v>181.5</v>
      </c>
      <c r="H146">
        <f t="shared" si="60"/>
        <v>311.60000000000002</v>
      </c>
      <c r="I146">
        <f t="shared" si="60"/>
        <v>1287.8</v>
      </c>
      <c r="J146">
        <f t="shared" si="60"/>
        <v>1226.9000000000001</v>
      </c>
      <c r="K146">
        <f t="shared" si="60"/>
        <v>3014.3999999999996</v>
      </c>
      <c r="L146">
        <f t="shared" si="60"/>
        <v>1082.2</v>
      </c>
      <c r="M146">
        <f t="shared" si="60"/>
        <v>1539.1999999999998</v>
      </c>
    </row>
    <row r="148" spans="2:13" ht="15.75" thickBot="1" x14ac:dyDescent="0.3">
      <c r="D148" s="5">
        <f t="shared" ref="D148:M148" si="61">D146/D28</f>
        <v>1.0998357062695474</v>
      </c>
      <c r="E148" s="5">
        <f t="shared" si="61"/>
        <v>0.46386426705558004</v>
      </c>
      <c r="F148" s="5">
        <f t="shared" si="61"/>
        <v>2.27759329901316</v>
      </c>
      <c r="G148" s="5">
        <f t="shared" si="61"/>
        <v>0.38844236817421057</v>
      </c>
      <c r="H148" s="5">
        <f t="shared" si="61"/>
        <v>0.53741971480835382</v>
      </c>
      <c r="I148" s="5">
        <f t="shared" si="61"/>
        <v>1.0941917092291242</v>
      </c>
      <c r="J148" s="5">
        <f t="shared" si="61"/>
        <v>0.96023167535165421</v>
      </c>
      <c r="K148" s="5">
        <f t="shared" si="61"/>
        <v>2.3530838476966354</v>
      </c>
      <c r="L148" s="5">
        <f t="shared" si="61"/>
        <v>0.65167522136443889</v>
      </c>
      <c r="M148" s="5">
        <f t="shared" si="61"/>
        <v>0.93097618419381012</v>
      </c>
    </row>
    <row r="149" spans="2:13" ht="15.75" thickBot="1" x14ac:dyDescent="0.3">
      <c r="B149" t="s">
        <v>94</v>
      </c>
      <c r="D149" s="17">
        <f t="shared" ref="D149:M149" si="62">D24/ - D144</f>
        <v>4.9914040114613165</v>
      </c>
      <c r="E149" s="17">
        <f t="shared" si="62"/>
        <v>12.247826086956536</v>
      </c>
      <c r="F149" s="17">
        <f t="shared" si="62"/>
        <v>7.3191011235955168</v>
      </c>
      <c r="G149" s="17">
        <f t="shared" si="62"/>
        <v>3.896052631578947</v>
      </c>
      <c r="H149" s="17">
        <f t="shared" si="62"/>
        <v>5.1327944572748274</v>
      </c>
      <c r="I149" s="17">
        <f t="shared" si="62"/>
        <v>2.6090169992609074</v>
      </c>
      <c r="J149" s="17">
        <f t="shared" si="62"/>
        <v>5.0904109589041129</v>
      </c>
      <c r="K149" s="17">
        <f t="shared" si="62"/>
        <v>6.2399127589967396</v>
      </c>
      <c r="L149" s="56">
        <f t="shared" si="62"/>
        <v>4.1567164179104443</v>
      </c>
      <c r="M149" s="57">
        <f t="shared" si="62"/>
        <v>2.1884816753926675</v>
      </c>
    </row>
    <row r="154" spans="2:13" ht="15.75" thickBot="1" x14ac:dyDescent="0.3">
      <c r="B154" t="s">
        <v>95</v>
      </c>
      <c r="D154" s="10">
        <f t="shared" ref="D154:M154" si="63">D24+D22</f>
        <v>292.19999999999993</v>
      </c>
      <c r="E154" s="10">
        <f t="shared" si="63"/>
        <v>411.40000000000032</v>
      </c>
      <c r="F154" s="10">
        <f t="shared" si="63"/>
        <v>496.80000000000052</v>
      </c>
      <c r="G154" s="10">
        <f t="shared" si="63"/>
        <v>551.29999999999995</v>
      </c>
      <c r="H154" s="10">
        <f t="shared" si="63"/>
        <v>710.5</v>
      </c>
      <c r="I154" s="10">
        <f t="shared" si="63"/>
        <v>1279.6000000000008</v>
      </c>
      <c r="J154" s="10">
        <f t="shared" si="63"/>
        <v>1442.2000000000003</v>
      </c>
      <c r="K154" s="10">
        <f t="shared" si="63"/>
        <v>1460.3000000000011</v>
      </c>
      <c r="L154" s="10">
        <f t="shared" si="63"/>
        <v>1870.8999999999992</v>
      </c>
      <c r="M154" s="10">
        <f t="shared" si="63"/>
        <v>1867.8999999999992</v>
      </c>
    </row>
    <row r="155" spans="2:13" ht="15.75" thickBot="1" x14ac:dyDescent="0.3">
      <c r="B155" t="s">
        <v>96</v>
      </c>
      <c r="D155" s="5">
        <f>D154/D146</f>
        <v>1.1683326669332266</v>
      </c>
      <c r="E155" s="5">
        <f t="shared" ref="E155:M155" si="64">E154/E146</f>
        <v>2.7778528021607043</v>
      </c>
      <c r="F155" s="5">
        <f t="shared" si="64"/>
        <v>0.53632732376120107</v>
      </c>
      <c r="G155" s="5">
        <f t="shared" si="64"/>
        <v>3.0374655647382918</v>
      </c>
      <c r="H155" s="5">
        <f t="shared" si="64"/>
        <v>2.2801668806161746</v>
      </c>
      <c r="I155" s="5">
        <f t="shared" si="64"/>
        <v>0.99363255163845388</v>
      </c>
      <c r="J155" s="5">
        <f t="shared" si="64"/>
        <v>1.1754829244437202</v>
      </c>
      <c r="K155" s="5">
        <f t="shared" si="64"/>
        <v>0.48444134819532952</v>
      </c>
      <c r="L155" s="54">
        <f t="shared" si="64"/>
        <v>1.7287931990389938</v>
      </c>
      <c r="M155" s="55">
        <f t="shared" si="64"/>
        <v>1.2135524948024945</v>
      </c>
    </row>
    <row r="163" spans="4:19" x14ac:dyDescent="0.25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</sheetData>
  <pageMargins left="0.7" right="0.7" top="0.75" bottom="0.75" header="0.3" footer="0.3"/>
  <ignoredErrors>
    <ignoredError sqref="E105:M105 E106:M106 E107:M107 D66:M66" formulaRange="1"/>
    <ignoredError sqref="N112:O1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11B9-1084-4A86-8C06-296CAEEDB47D}">
  <dimension ref="A1:AA4"/>
  <sheetViews>
    <sheetView workbookViewId="0">
      <selection activeCell="F25" sqref="F25"/>
    </sheetView>
  </sheetViews>
  <sheetFormatPr defaultRowHeight="15" x14ac:dyDescent="0.25"/>
  <cols>
    <col min="1" max="1" width="12.42578125" bestFit="1" customWidth="1"/>
  </cols>
  <sheetData>
    <row r="1" spans="1:27" x14ac:dyDescent="0.25">
      <c r="C1">
        <v>2010</v>
      </c>
      <c r="D1">
        <f>C1+1</f>
        <v>2011</v>
      </c>
      <c r="E1">
        <f t="shared" ref="E1:O1" si="0">D1+1</f>
        <v>2012</v>
      </c>
      <c r="F1">
        <f t="shared" si="0"/>
        <v>2013</v>
      </c>
      <c r="G1">
        <f t="shared" si="0"/>
        <v>2014</v>
      </c>
      <c r="H1">
        <f t="shared" si="0"/>
        <v>2015</v>
      </c>
      <c r="I1">
        <f t="shared" si="0"/>
        <v>2016</v>
      </c>
      <c r="J1">
        <f t="shared" si="0"/>
        <v>2017</v>
      </c>
      <c r="K1">
        <f t="shared" si="0"/>
        <v>2018</v>
      </c>
      <c r="L1">
        <f t="shared" si="0"/>
        <v>2019</v>
      </c>
      <c r="M1">
        <f t="shared" si="0"/>
        <v>2020</v>
      </c>
      <c r="N1">
        <f t="shared" si="0"/>
        <v>2021</v>
      </c>
      <c r="O1">
        <f t="shared" si="0"/>
        <v>2022</v>
      </c>
      <c r="P1">
        <v>2023</v>
      </c>
    </row>
    <row r="2" spans="1:27" x14ac:dyDescent="0.25">
      <c r="A2" s="1" t="s">
        <v>5</v>
      </c>
      <c r="C2" s="1">
        <v>771.1</v>
      </c>
      <c r="D2" s="1">
        <v>745.7</v>
      </c>
      <c r="E2" s="1">
        <v>843.9</v>
      </c>
      <c r="F2" s="1">
        <v>940.4</v>
      </c>
      <c r="G2" s="1">
        <v>1337.1</v>
      </c>
      <c r="H2" s="1">
        <v>1252.2</v>
      </c>
      <c r="I2" s="1">
        <v>2789.1</v>
      </c>
      <c r="J2" s="1">
        <v>3253.9</v>
      </c>
      <c r="K2" s="1">
        <v>3168.5</v>
      </c>
      <c r="L2" s="1">
        <v>4510</v>
      </c>
      <c r="M2" s="1">
        <v>3847.7</v>
      </c>
      <c r="N2" s="1">
        <v>6048.2</v>
      </c>
      <c r="O2" s="1">
        <v>8102.8</v>
      </c>
      <c r="P2" s="1">
        <v>7953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t="s">
        <v>6</v>
      </c>
      <c r="C3" s="1" t="s">
        <v>4</v>
      </c>
      <c r="D3" s="1">
        <v>1625.3</v>
      </c>
      <c r="E3" s="1">
        <v>1797.7</v>
      </c>
      <c r="F3" s="1">
        <v>1979</v>
      </c>
      <c r="G3" s="1">
        <v>2684.8</v>
      </c>
      <c r="H3" s="1">
        <v>2740.2</v>
      </c>
      <c r="I3" s="1">
        <v>5200.1000000000004</v>
      </c>
      <c r="J3" s="1">
        <v>5707.1</v>
      </c>
      <c r="K3" s="1">
        <v>5875.9</v>
      </c>
      <c r="L3" s="1">
        <v>7287</v>
      </c>
      <c r="M3" s="1">
        <v>6755.6</v>
      </c>
      <c r="N3" s="1">
        <v>9352.1</v>
      </c>
      <c r="O3" s="1">
        <v>11973.1</v>
      </c>
      <c r="P3" s="1">
        <v>11846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t="s">
        <v>7</v>
      </c>
      <c r="C4" s="5">
        <f>C2/C3</f>
        <v>0.48484657947686116</v>
      </c>
      <c r="D4" s="5">
        <f t="shared" ref="D4:P4" si="1">D2/D3</f>
        <v>0.45880760474989235</v>
      </c>
      <c r="E4" s="5">
        <f t="shared" si="1"/>
        <v>0.46943316459921008</v>
      </c>
      <c r="F4" s="5">
        <f t="shared" si="1"/>
        <v>0.47518948964123292</v>
      </c>
      <c r="G4" s="5">
        <f t="shared" si="1"/>
        <v>0.49802592371871268</v>
      </c>
      <c r="H4" s="5">
        <f t="shared" si="1"/>
        <v>0.45697394350777321</v>
      </c>
      <c r="I4" s="5">
        <f t="shared" si="1"/>
        <v>0.53635507009480576</v>
      </c>
      <c r="J4" s="5">
        <f t="shared" si="1"/>
        <v>0.57014946294965918</v>
      </c>
      <c r="K4" s="5">
        <f t="shared" si="1"/>
        <v>0.53923654248710839</v>
      </c>
      <c r="L4" s="5">
        <f t="shared" si="1"/>
        <v>0.61891038836283796</v>
      </c>
      <c r="M4" s="5">
        <f t="shared" si="1"/>
        <v>0.56955710817691985</v>
      </c>
      <c r="N4" s="5">
        <f t="shared" si="1"/>
        <v>0.64672105730263785</v>
      </c>
      <c r="O4" s="5">
        <f t="shared" si="1"/>
        <v>0.67675038210655547</v>
      </c>
      <c r="P4" s="5">
        <f t="shared" si="1"/>
        <v>0.67136586189431036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160C-46F4-48E4-8687-6498C543D6C5}">
  <dimension ref="J2:N36"/>
  <sheetViews>
    <sheetView workbookViewId="0">
      <selection activeCell="K39" sqref="K39"/>
    </sheetView>
  </sheetViews>
  <sheetFormatPr defaultRowHeight="15" x14ac:dyDescent="0.25"/>
  <cols>
    <col min="12" max="12" width="11.28515625" customWidth="1"/>
    <col min="13" max="13" width="10.5703125" bestFit="1" customWidth="1"/>
  </cols>
  <sheetData>
    <row r="2" spans="14:14" x14ac:dyDescent="0.25">
      <c r="N2" t="s">
        <v>97</v>
      </c>
    </row>
    <row r="26" spans="10:13" x14ac:dyDescent="0.25">
      <c r="J26" t="s">
        <v>98</v>
      </c>
    </row>
    <row r="28" spans="10:13" x14ac:dyDescent="0.25">
      <c r="J28" t="s">
        <v>99</v>
      </c>
      <c r="L28">
        <v>3</v>
      </c>
      <c r="M28" t="s">
        <v>100</v>
      </c>
    </row>
    <row r="30" spans="10:13" x14ac:dyDescent="0.25">
      <c r="K30" t="s">
        <v>101</v>
      </c>
      <c r="M30" s="16">
        <v>0.25</v>
      </c>
    </row>
    <row r="31" spans="10:13" x14ac:dyDescent="0.25">
      <c r="K31" t="s">
        <v>69</v>
      </c>
      <c r="M31" s="17">
        <v>10114.955179697328</v>
      </c>
    </row>
    <row r="32" spans="10:13" x14ac:dyDescent="0.25">
      <c r="K32" t="s">
        <v>102</v>
      </c>
      <c r="M32" s="16">
        <v>0.3</v>
      </c>
    </row>
    <row r="33" spans="11:13" x14ac:dyDescent="0.25">
      <c r="K33" t="s">
        <v>105</v>
      </c>
      <c r="M33" s="52">
        <f>M31*M32*M30</f>
        <v>758.6216384772996</v>
      </c>
    </row>
    <row r="34" spans="11:13" x14ac:dyDescent="0.25">
      <c r="M34" s="20"/>
    </row>
    <row r="35" spans="11:13" x14ac:dyDescent="0.25">
      <c r="K35" t="s">
        <v>103</v>
      </c>
      <c r="M35">
        <v>33.542937999999999</v>
      </c>
    </row>
    <row r="36" spans="11:13" x14ac:dyDescent="0.25">
      <c r="K36" t="s">
        <v>104</v>
      </c>
      <c r="M36" s="20">
        <f>M33/M35</f>
        <v>22.616433851957144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63F-1482-4E06-8F1A-67AD01465E8E}">
  <dimension ref="B1:M39"/>
  <sheetViews>
    <sheetView workbookViewId="0">
      <selection activeCell="K28" sqref="K28"/>
    </sheetView>
  </sheetViews>
  <sheetFormatPr defaultRowHeight="15" x14ac:dyDescent="0.25"/>
  <cols>
    <col min="2" max="2" width="9.42578125" bestFit="1" customWidth="1"/>
    <col min="5" max="5" width="9.42578125" bestFit="1" customWidth="1"/>
  </cols>
  <sheetData>
    <row r="1" spans="2:13" x14ac:dyDescent="0.25">
      <c r="B1" t="s">
        <v>9</v>
      </c>
      <c r="C1" t="s">
        <v>10</v>
      </c>
      <c r="E1" t="s">
        <v>11</v>
      </c>
      <c r="F1" t="s">
        <v>10</v>
      </c>
    </row>
    <row r="2" spans="2:13" x14ac:dyDescent="0.25">
      <c r="B2" s="7">
        <v>41730</v>
      </c>
      <c r="C2">
        <v>41.685214999999999</v>
      </c>
      <c r="E2" s="7">
        <v>41730</v>
      </c>
      <c r="F2">
        <v>144.96</v>
      </c>
      <c r="H2" t="s">
        <v>13</v>
      </c>
      <c r="I2" t="s">
        <v>11</v>
      </c>
    </row>
    <row r="3" spans="2:13" x14ac:dyDescent="0.25">
      <c r="B3" s="7">
        <v>43070</v>
      </c>
      <c r="C3">
        <v>80.272278</v>
      </c>
      <c r="E3" s="7">
        <v>43070</v>
      </c>
      <c r="F3">
        <v>219.97224399999999</v>
      </c>
      <c r="H3">
        <v>0.92567743743195274</v>
      </c>
      <c r="I3">
        <v>0.51746857064017648</v>
      </c>
      <c r="L3" t="s">
        <v>12</v>
      </c>
      <c r="M3">
        <v>1.8162071176534866</v>
      </c>
    </row>
    <row r="4" spans="2:13" x14ac:dyDescent="0.25">
      <c r="B4" s="7">
        <v>43101</v>
      </c>
      <c r="C4">
        <v>79.641739000000001</v>
      </c>
      <c r="E4" s="7">
        <v>43101</v>
      </c>
      <c r="F4">
        <v>233.376846</v>
      </c>
      <c r="H4">
        <v>9.649415627085145E-2</v>
      </c>
      <c r="I4">
        <v>0.51982885732541106</v>
      </c>
    </row>
    <row r="5" spans="2:13" x14ac:dyDescent="0.25">
      <c r="B5" s="7">
        <v>43132</v>
      </c>
      <c r="C5">
        <v>81.290840000000003</v>
      </c>
      <c r="E5" s="7">
        <v>43132</v>
      </c>
      <c r="F5">
        <v>224.681183</v>
      </c>
      <c r="H5">
        <v>6.4127044434103775E-2</v>
      </c>
      <c r="I5">
        <v>0.37644459298739119</v>
      </c>
    </row>
    <row r="6" spans="2:13" x14ac:dyDescent="0.25">
      <c r="B6" s="7">
        <v>43160</v>
      </c>
      <c r="C6">
        <v>77.507614000000004</v>
      </c>
      <c r="E6" s="7">
        <v>43160</v>
      </c>
      <c r="F6">
        <v>218.13919100000001</v>
      </c>
      <c r="H6">
        <v>-2.2629909862796227E-2</v>
      </c>
      <c r="I6">
        <v>0.32459662455410587</v>
      </c>
    </row>
    <row r="7" spans="2:13" x14ac:dyDescent="0.25">
      <c r="B7" s="7">
        <v>43191</v>
      </c>
      <c r="C7">
        <v>75.664505000000005</v>
      </c>
      <c r="E7" s="7">
        <v>43191</v>
      </c>
      <c r="F7">
        <v>219.89729299999999</v>
      </c>
      <c r="H7">
        <v>0.2235294705490658</v>
      </c>
      <c r="I7">
        <v>0.31224800529880214</v>
      </c>
    </row>
    <row r="8" spans="2:13" x14ac:dyDescent="0.25">
      <c r="B8" s="7">
        <v>43221</v>
      </c>
      <c r="C8">
        <v>64.508842000000001</v>
      </c>
      <c r="E8" s="7">
        <v>43221</v>
      </c>
      <c r="F8">
        <v>225.21092200000001</v>
      </c>
      <c r="H8">
        <v>-0.19930547967756507</v>
      </c>
      <c r="I8">
        <v>0.34633469695717833</v>
      </c>
    </row>
    <row r="9" spans="2:13" x14ac:dyDescent="0.25">
      <c r="B9" s="7">
        <v>43252</v>
      </c>
      <c r="C9">
        <v>69.359131000000005</v>
      </c>
      <c r="E9" s="7">
        <v>43252</v>
      </c>
      <c r="F9">
        <v>225.862686</v>
      </c>
      <c r="H9">
        <v>-0.25842874028355467</v>
      </c>
      <c r="I9">
        <v>0.29578421452974601</v>
      </c>
    </row>
    <row r="10" spans="2:13" x14ac:dyDescent="0.25">
      <c r="B10" s="7">
        <v>43344</v>
      </c>
      <c r="C10">
        <v>76.634559999999993</v>
      </c>
      <c r="E10" s="7">
        <v>43344</v>
      </c>
      <c r="F10">
        <v>242.87098700000001</v>
      </c>
      <c r="H10">
        <v>-0.21221566062168895</v>
      </c>
      <c r="I10">
        <v>0.3916858331880122</v>
      </c>
    </row>
    <row r="11" spans="2:13" x14ac:dyDescent="0.25">
      <c r="B11" s="7">
        <v>43770</v>
      </c>
      <c r="C11">
        <v>80.320785999999998</v>
      </c>
      <c r="E11" s="7">
        <v>43770</v>
      </c>
      <c r="F11">
        <v>269.282715</v>
      </c>
      <c r="H11">
        <v>-0.16783913310904441</v>
      </c>
      <c r="I11">
        <v>0.51430578560819029</v>
      </c>
    </row>
    <row r="12" spans="2:13" x14ac:dyDescent="0.25">
      <c r="B12" s="7">
        <v>43800</v>
      </c>
      <c r="C12">
        <v>82.454909999999998</v>
      </c>
      <c r="E12" s="7">
        <v>43800</v>
      </c>
      <c r="F12">
        <v>275.95297199999999</v>
      </c>
      <c r="H12">
        <v>-0.18465267347642045</v>
      </c>
      <c r="I12">
        <v>0.5298207471317915</v>
      </c>
    </row>
    <row r="13" spans="2:13" x14ac:dyDescent="0.25">
      <c r="B13" s="7">
        <v>43831</v>
      </c>
      <c r="C13">
        <v>82.086287999999996</v>
      </c>
      <c r="E13" s="7">
        <v>43831</v>
      </c>
      <c r="F13">
        <v>277.187164</v>
      </c>
      <c r="H13">
        <v>-0.19810988032599308</v>
      </c>
      <c r="I13">
        <v>0.50036795359235775</v>
      </c>
    </row>
    <row r="14" spans="2:13" x14ac:dyDescent="0.25">
      <c r="B14" s="7">
        <v>43862</v>
      </c>
      <c r="C14">
        <v>86.723159999999993</v>
      </c>
      <c r="E14" s="7">
        <v>43862</v>
      </c>
      <c r="F14">
        <v>254.73580899999999</v>
      </c>
      <c r="H14">
        <v>-0.13814088497939259</v>
      </c>
      <c r="I14">
        <v>0.32739070874059673</v>
      </c>
    </row>
    <row r="15" spans="2:13" x14ac:dyDescent="0.25">
      <c r="B15" s="7">
        <v>43891</v>
      </c>
      <c r="C15">
        <v>43.482838000000001</v>
      </c>
      <c r="E15" s="7">
        <v>43891</v>
      </c>
      <c r="F15">
        <v>222.00096099999999</v>
      </c>
      <c r="H15">
        <v>-0.5425726745722721</v>
      </c>
      <c r="I15">
        <v>0.16066404753327412</v>
      </c>
    </row>
    <row r="16" spans="2:13" x14ac:dyDescent="0.25">
      <c r="B16" s="7">
        <v>43983</v>
      </c>
      <c r="C16">
        <v>55.972332000000002</v>
      </c>
      <c r="E16" s="7">
        <v>43983</v>
      </c>
      <c r="F16">
        <v>266.94158900000002</v>
      </c>
      <c r="H16">
        <v>-0.48692532668304311</v>
      </c>
      <c r="I16">
        <v>0.37486304758279254</v>
      </c>
    </row>
    <row r="17" spans="2:9" x14ac:dyDescent="0.25">
      <c r="B17" s="7">
        <v>44044</v>
      </c>
      <c r="C17">
        <v>67.419014000000004</v>
      </c>
      <c r="E17" s="7">
        <v>44044</v>
      </c>
      <c r="F17">
        <v>303.91644300000002</v>
      </c>
      <c r="H17">
        <v>-0.36837126537022424</v>
      </c>
      <c r="I17">
        <v>0.54362109578765039</v>
      </c>
    </row>
    <row r="18" spans="2:9" x14ac:dyDescent="0.25">
      <c r="B18" s="7">
        <v>44105</v>
      </c>
      <c r="C18">
        <v>79.835753999999994</v>
      </c>
      <c r="E18" s="7">
        <v>44105</v>
      </c>
      <c r="F18">
        <v>285.056061</v>
      </c>
      <c r="H18">
        <v>-0.28430336705572701</v>
      </c>
      <c r="I18">
        <v>0.44528485398522299</v>
      </c>
    </row>
    <row r="19" spans="2:9" x14ac:dyDescent="0.25">
      <c r="B19" s="7">
        <v>44197</v>
      </c>
      <c r="C19">
        <v>137.16615300000001</v>
      </c>
      <c r="E19" s="7">
        <v>44197</v>
      </c>
      <c r="F19">
        <v>324.75116000000003</v>
      </c>
      <c r="H19">
        <v>0.46909079408174925</v>
      </c>
      <c r="I19">
        <v>0.60599770521427221</v>
      </c>
    </row>
    <row r="20" spans="2:9" x14ac:dyDescent="0.25">
      <c r="B20" s="7">
        <v>44228</v>
      </c>
      <c r="C20">
        <v>162.19364899999999</v>
      </c>
      <c r="E20" s="7">
        <v>44228</v>
      </c>
      <c r="F20">
        <v>333.734375</v>
      </c>
      <c r="H20">
        <v>0.72068485599377841</v>
      </c>
      <c r="I20">
        <v>0.64563026198886186</v>
      </c>
    </row>
    <row r="21" spans="2:9" x14ac:dyDescent="0.25">
      <c r="B21" s="7">
        <v>44256</v>
      </c>
      <c r="C21">
        <v>165.87986799999999</v>
      </c>
      <c r="E21" s="7">
        <v>44256</v>
      </c>
      <c r="F21">
        <v>347.77716099999998</v>
      </c>
      <c r="H21">
        <v>0.7317568876566507</v>
      </c>
      <c r="I21">
        <v>0.68916190380854037</v>
      </c>
    </row>
    <row r="22" spans="2:9" x14ac:dyDescent="0.25">
      <c r="B22" s="7">
        <v>44287</v>
      </c>
      <c r="C22">
        <v>178.1026</v>
      </c>
      <c r="E22" s="7">
        <v>44287</v>
      </c>
      <c r="F22">
        <v>367.46444700000001</v>
      </c>
      <c r="H22">
        <v>0.98101492419908864</v>
      </c>
      <c r="I22">
        <v>0.73530639208236481</v>
      </c>
    </row>
    <row r="23" spans="2:9" x14ac:dyDescent="0.25">
      <c r="B23" s="7">
        <v>44317</v>
      </c>
      <c r="C23">
        <v>167.43197599999999</v>
      </c>
      <c r="E23" s="7">
        <v>44317</v>
      </c>
      <c r="F23">
        <v>369.91693099999998</v>
      </c>
      <c r="H23">
        <v>1.0473382599546963</v>
      </c>
      <c r="I23">
        <v>0.69505886790518234</v>
      </c>
    </row>
    <row r="24" spans="2:9" x14ac:dyDescent="0.25">
      <c r="B24" s="7">
        <v>44348</v>
      </c>
      <c r="C24">
        <v>159.47747799999999</v>
      </c>
      <c r="E24" s="7">
        <v>44348</v>
      </c>
      <c r="F24">
        <v>376.99664300000001</v>
      </c>
      <c r="H24">
        <v>0.98670676818216108</v>
      </c>
      <c r="I24">
        <v>0.71383732849495329</v>
      </c>
    </row>
    <row r="25" spans="2:9" x14ac:dyDescent="0.25">
      <c r="B25" s="7">
        <v>44378</v>
      </c>
      <c r="C25">
        <v>164.71580499999999</v>
      </c>
      <c r="E25" s="7">
        <v>44378</v>
      </c>
      <c r="F25">
        <v>387.53241000000003</v>
      </c>
      <c r="H25">
        <v>1.0682095477598748</v>
      </c>
      <c r="I25">
        <v>0.66054352281374151</v>
      </c>
    </row>
    <row r="26" spans="2:9" x14ac:dyDescent="0.25">
      <c r="B26" s="7">
        <v>44409</v>
      </c>
      <c r="C26">
        <v>156.567307</v>
      </c>
      <c r="E26" s="7">
        <v>44409</v>
      </c>
      <c r="F26">
        <v>398.97131300000001</v>
      </c>
      <c r="H26">
        <v>0.92601413640208419</v>
      </c>
      <c r="I26">
        <v>0.7757219704509033</v>
      </c>
    </row>
    <row r="27" spans="2:9" x14ac:dyDescent="0.25">
      <c r="B27" s="7">
        <v>44440</v>
      </c>
      <c r="C27">
        <v>141.04638700000001</v>
      </c>
      <c r="E27" s="7">
        <v>44440</v>
      </c>
      <c r="F27">
        <v>379.121307</v>
      </c>
      <c r="H27">
        <v>0.81977459659640672</v>
      </c>
      <c r="I27">
        <v>0.73797888064964901</v>
      </c>
    </row>
    <row r="28" spans="2:9" x14ac:dyDescent="0.25">
      <c r="B28" s="7">
        <v>44470</v>
      </c>
      <c r="C28">
        <v>144.21137999999999</v>
      </c>
      <c r="E28" s="7">
        <v>44470</v>
      </c>
      <c r="F28">
        <v>407.13681000000003</v>
      </c>
      <c r="H28">
        <v>0.90593171791713933</v>
      </c>
      <c r="I28">
        <v>0.85148622998283141</v>
      </c>
    </row>
    <row r="29" spans="2:9" x14ac:dyDescent="0.25">
      <c r="B29" s="7">
        <v>44501</v>
      </c>
      <c r="C29">
        <v>159.47747799999999</v>
      </c>
      <c r="E29" s="7">
        <v>44501</v>
      </c>
      <c r="F29">
        <v>404.14712500000002</v>
      </c>
      <c r="H29">
        <v>1.4721801392745508</v>
      </c>
      <c r="I29">
        <v>0.79452719881853695</v>
      </c>
    </row>
    <row r="30" spans="2:9" x14ac:dyDescent="0.25">
      <c r="B30" s="7">
        <v>44531</v>
      </c>
      <c r="C30">
        <v>168.59603899999999</v>
      </c>
      <c r="E30" s="7">
        <v>44531</v>
      </c>
      <c r="F30">
        <v>421.03402699999998</v>
      </c>
      <c r="H30">
        <v>1.4307691946140442</v>
      </c>
      <c r="I30">
        <v>0.86411502695048958</v>
      </c>
    </row>
    <row r="31" spans="2:9" x14ac:dyDescent="0.25">
      <c r="B31" s="7">
        <v>44621</v>
      </c>
      <c r="C31">
        <v>132.89790300000001</v>
      </c>
      <c r="E31" s="7">
        <v>44621</v>
      </c>
      <c r="F31">
        <v>401.86309799999998</v>
      </c>
      <c r="H31">
        <v>0.65458917446350706</v>
      </c>
      <c r="I31">
        <v>0.49234642854815247</v>
      </c>
    </row>
    <row r="32" spans="2:9" x14ac:dyDescent="0.25">
      <c r="B32" s="7">
        <v>44986</v>
      </c>
      <c r="C32">
        <v>156.761337</v>
      </c>
      <c r="E32" s="7">
        <v>44986</v>
      </c>
      <c r="F32">
        <v>370.116333</v>
      </c>
      <c r="H32">
        <v>-6.373118955485535E-2</v>
      </c>
      <c r="I32">
        <v>5.3904534583204544E-4</v>
      </c>
    </row>
    <row r="33" spans="2:9" x14ac:dyDescent="0.25">
      <c r="B33" s="7">
        <v>45047</v>
      </c>
      <c r="C33">
        <v>119.808289</v>
      </c>
      <c r="E33" s="7">
        <v>45047</v>
      </c>
      <c r="F33">
        <v>379.36816399999998</v>
      </c>
      <c r="H33">
        <v>-0.27263635083469973</v>
      </c>
      <c r="I33">
        <v>-2.1067259897049717E-2</v>
      </c>
    </row>
    <row r="34" spans="2:9" x14ac:dyDescent="0.25">
      <c r="B34" s="7">
        <v>45078</v>
      </c>
      <c r="C34">
        <v>119.388908</v>
      </c>
      <c r="E34" s="7">
        <v>45078</v>
      </c>
      <c r="F34">
        <v>402.48260499999998</v>
      </c>
      <c r="H34">
        <v>-0.23745952914678414</v>
      </c>
      <c r="I34">
        <v>8.800863334251785E-3</v>
      </c>
    </row>
    <row r="35" spans="2:9" x14ac:dyDescent="0.25">
      <c r="B35" s="7">
        <v>45108</v>
      </c>
      <c r="C35">
        <v>100.359978</v>
      </c>
      <c r="E35" s="7">
        <v>45108</v>
      </c>
      <c r="F35">
        <v>417.35876500000001</v>
      </c>
      <c r="H35">
        <v>-0.28846119255787817</v>
      </c>
      <c r="I35">
        <v>0.10085810872138601</v>
      </c>
    </row>
    <row r="36" spans="2:9" x14ac:dyDescent="0.25">
      <c r="B36" s="7">
        <v>45139</v>
      </c>
      <c r="C36">
        <v>105.199997</v>
      </c>
      <c r="E36" s="7">
        <v>45139</v>
      </c>
      <c r="F36">
        <v>410.562836</v>
      </c>
      <c r="H36">
        <v>-0.27051528804453573</v>
      </c>
      <c r="I36">
        <v>8.4149256855452492E-3</v>
      </c>
    </row>
    <row r="37" spans="2:9" x14ac:dyDescent="0.25">
      <c r="B37" s="7">
        <v>45170</v>
      </c>
      <c r="C37">
        <v>97.914162000000005</v>
      </c>
      <c r="E37" s="7">
        <v>45170</v>
      </c>
      <c r="F37">
        <v>389.59967</v>
      </c>
      <c r="H37">
        <v>-0.38603141190883383</v>
      </c>
      <c r="I37">
        <v>-3.5995443491030676E-2</v>
      </c>
    </row>
    <row r="38" spans="2:9" x14ac:dyDescent="0.25">
      <c r="B38" s="7">
        <v>45261</v>
      </c>
      <c r="C38">
        <v>95.199996999999996</v>
      </c>
      <c r="E38" s="7">
        <v>45261</v>
      </c>
      <c r="F38">
        <v>435.00470000000001</v>
      </c>
      <c r="H38">
        <v>-0.30985588891579241</v>
      </c>
      <c r="I38">
        <v>0.11971561939848208</v>
      </c>
    </row>
    <row r="39" spans="2:9" x14ac:dyDescent="0.25">
      <c r="B39" s="7">
        <v>45316</v>
      </c>
      <c r="C39">
        <v>100.400002</v>
      </c>
      <c r="E39" s="7">
        <v>45316</v>
      </c>
      <c r="F39">
        <v>446.66900600000002</v>
      </c>
      <c r="H39">
        <v>-0.3044422191676337</v>
      </c>
      <c r="I39">
        <v>0.21444571809527324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DCF and EVA Valuation</vt:lpstr>
      <vt:lpstr>Debt Ratio history</vt:lpstr>
      <vt:lpstr>Bankruptcy risk</vt:lpstr>
      <vt:lpstr>Beta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Lampros, Alexander</dc:creator>
  <cp:lastModifiedBy>Lampros, Alexander</cp:lastModifiedBy>
  <dcterms:created xsi:type="dcterms:W3CDTF">2024-01-25T18:59:04Z</dcterms:created>
  <dcterms:modified xsi:type="dcterms:W3CDTF">2024-05-15T16:32:26Z</dcterms:modified>
</cp:coreProperties>
</file>