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האחסון שלי\תואר שני\PIV Expierements\"/>
    </mc:Choice>
  </mc:AlternateContent>
  <xr:revisionPtr revIDLastSave="0" documentId="13_ncr:1_{2DA55A7D-D5A3-4D0C-AAA1-9EB2EB586F6F}" xr6:coauthVersionLast="47" xr6:coauthVersionMax="47" xr10:uidLastSave="{00000000-0000-0000-0000-000000000000}"/>
  <bookViews>
    <workbookView xWindow="22932" yWindow="-108" windowWidth="23256" windowHeight="12456" xr2:uid="{837B2D80-45A7-4AD3-A63A-3C7B1BA0EB46}"/>
  </bookViews>
  <sheets>
    <sheet name="choose flow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2" i="1" l="1"/>
  <c r="I51" i="1"/>
  <c r="I50" i="1"/>
  <c r="G31" i="1"/>
  <c r="I43" i="1"/>
  <c r="C34" i="1"/>
  <c r="D34" i="1" s="1"/>
  <c r="E34" i="1" s="1"/>
  <c r="I73" i="1"/>
  <c r="G73" i="1"/>
  <c r="G72" i="1"/>
  <c r="F71" i="1"/>
  <c r="E71" i="1"/>
  <c r="D51" i="1"/>
  <c r="E51" i="1" s="1"/>
  <c r="H71" i="1" s="1"/>
  <c r="AJ56" i="1"/>
  <c r="AI56" i="1"/>
  <c r="D50" i="1"/>
  <c r="E50" i="1" s="1"/>
  <c r="F50" i="1"/>
  <c r="I44" i="1"/>
  <c r="E43" i="1"/>
  <c r="D43" i="1"/>
  <c r="E42" i="1"/>
  <c r="I42" i="1" s="1"/>
  <c r="D42" i="1"/>
  <c r="Q42" i="1"/>
  <c r="S6" i="1"/>
  <c r="C33" i="1"/>
  <c r="D33" i="1" s="1"/>
  <c r="C32" i="1"/>
  <c r="D32" i="1" s="1"/>
  <c r="B31" i="1"/>
  <c r="C31" i="1" s="1"/>
  <c r="D31" i="1" s="1"/>
  <c r="C30" i="1"/>
  <c r="D30" i="1" s="1"/>
  <c r="C8" i="1"/>
  <c r="A8" i="1"/>
  <c r="B8" i="1"/>
  <c r="F34" i="1" l="1"/>
  <c r="G34" i="1"/>
  <c r="I71" i="1"/>
  <c r="G71" i="1"/>
  <c r="D8" i="1"/>
  <c r="E30" i="1" s="1"/>
  <c r="F30" i="1" l="1"/>
  <c r="G30" i="1"/>
  <c r="E33" i="1"/>
  <c r="E32" i="1"/>
  <c r="E31" i="1"/>
  <c r="F31" i="1" l="1"/>
  <c r="G32" i="1"/>
  <c r="F32" i="1"/>
  <c r="G33" i="1"/>
  <c r="F33" i="1"/>
</calcChain>
</file>

<file path=xl/sharedStrings.xml><?xml version="1.0" encoding="utf-8"?>
<sst xmlns="http://schemas.openxmlformats.org/spreadsheetml/2006/main" count="120" uniqueCount="73">
  <si>
    <t xml:space="preserve">Step A.2 – Pre experiments preparations </t>
  </si>
  <si>
    <t>קוטר גליל</t>
  </si>
  <si>
    <t>רוחב תעלה</t>
  </si>
  <si>
    <t>גובה מים</t>
  </si>
  <si>
    <t>שטח חתך זרימה</t>
  </si>
  <si>
    <t>A[m^2]</t>
  </si>
  <si>
    <t>d[m]</t>
  </si>
  <si>
    <t>w[m]</t>
  </si>
  <si>
    <t>H[m]</t>
  </si>
  <si>
    <t>רוטמטר</t>
  </si>
  <si>
    <t>Q[L/min]</t>
  </si>
  <si>
    <t>Q[L/sec]</t>
  </si>
  <si>
    <t>Q[m^3/sec]</t>
  </si>
  <si>
    <t xml:space="preserve">http://www.mhtl.uwaterloo.ca/old/onlinetools/airprop/airprop.html </t>
  </si>
  <si>
    <t>Re</t>
  </si>
  <si>
    <t>dy visco [kg/m s]</t>
  </si>
  <si>
    <t>constant parameters:</t>
  </si>
  <si>
    <t>Density [kg/m^3]</t>
  </si>
  <si>
    <t>T_water [deg]</t>
  </si>
  <si>
    <t>מהירות הזרימה הממוצעת מספיקת רוטמטר חלקי שטח חתך</t>
  </si>
  <si>
    <t>לפי V_rot</t>
  </si>
  <si>
    <t>צריך לשנות בתחילת הניסוי</t>
  </si>
  <si>
    <t>expirement date</t>
  </si>
  <si>
    <t>hour</t>
  </si>
  <si>
    <t>exp. No.</t>
  </si>
  <si>
    <t>Exected Re</t>
  </si>
  <si>
    <t>האם בוצע?</t>
  </si>
  <si>
    <t>Goal: decide on flow rate</t>
  </si>
  <si>
    <t>לפי V_rot, אם היה גליל</t>
  </si>
  <si>
    <t>1. Before the expirement measure the water temperture, and find the Density and dynamic viscosity from internet calculator:</t>
  </si>
  <si>
    <t xml:space="preserve">2. אחרי רישום מדידה של טמפ, צפיפות וצמיגות, לפי הערכים שתקבלי בריינולדס הצפוי, תחליטי באיזה ספיקות לעבוד. </t>
  </si>
  <si>
    <t>Current temp</t>
  </si>
  <si>
    <t>First image No</t>
  </si>
  <si>
    <t>Last image No.</t>
  </si>
  <si>
    <t>צריך למלא כל ניסוי</t>
  </si>
  <si>
    <t>צריך למלא בתחילת הניסוי</t>
  </si>
  <si>
    <t>V_rot [cm/s]</t>
  </si>
  <si>
    <t>V_rot [m/s]</t>
  </si>
  <si>
    <t>Cylinder location from inlet [cm]</t>
  </si>
  <si>
    <t>cylinder location from image frame [cm]</t>
  </si>
  <si>
    <t>עיבוד תוצאות אחרי הניסוי:</t>
  </si>
  <si>
    <t>Current temp [deg]</t>
  </si>
  <si>
    <t>V__avg_PIV [m/s]</t>
  </si>
  <si>
    <t xml:space="preserve">הוספנו כנף! </t>
  </si>
  <si>
    <t xml:space="preserve">התחלנו את כל הניסויים עם זווית אפס </t>
  </si>
  <si>
    <t>Foil AOA</t>
  </si>
  <si>
    <t>עם גליל + כנף - בחירת ספיקה</t>
  </si>
  <si>
    <t>עם גליל + כנף - בזוויות שונות בספיקה קבועה</t>
  </si>
  <si>
    <t xml:space="preserve">Meaning 1600/90 = 17.7  steps is 1 deg of rotation. </t>
  </si>
  <si>
    <t>foil axis location from inlet [cm]</t>
  </si>
  <si>
    <t>foil axis location from image frame [cm]</t>
  </si>
  <si>
    <t>v[mm/s]</t>
  </si>
  <si>
    <t>v[m/s]</t>
  </si>
  <si>
    <t>Re_piv</t>
  </si>
  <si>
    <t>scale pixel/mm</t>
  </si>
  <si>
    <t>1613 pixel = 120 mm (chord length)</t>
  </si>
  <si>
    <t>dt (laser) micro sec</t>
  </si>
  <si>
    <t>yes</t>
  </si>
  <si>
    <t>no</t>
  </si>
  <si>
    <t>run 1</t>
  </si>
  <si>
    <t>run 2</t>
  </si>
  <si>
    <t>run1</t>
  </si>
  <si>
    <t>run2</t>
  </si>
  <si>
    <t>בהרצה ראשונה מדדנו בשתי ספיקות, וראינו שאין מספיק מקום בין הגליל לכנף בשביל שיבצרו ערבולים מפותחים לפני פגיעה בכנף. לכן נרחיק את הכנף מהגליל להרצה השנייה</t>
  </si>
  <si>
    <t>בהרצה שנייה - מרחק בין LE למרכז הגליל, היא 10 ס"מ. צריך לוודא לפי המרחקים בתוכנת PIV</t>
  </si>
  <si>
    <t>מרחק בין גליל וכנף פיקסלים</t>
  </si>
  <si>
    <t xml:space="preserve">מרחק בין גליל וכנף ממ </t>
  </si>
  <si>
    <t>מרחק בין גליל וכנף סמ</t>
  </si>
  <si>
    <t>run 3</t>
  </si>
  <si>
    <t xml:space="preserve">לקחת מ run2 </t>
  </si>
  <si>
    <t>לפי V_avg_PIV</t>
  </si>
  <si>
    <t>8:00-15:30</t>
  </si>
  <si>
    <t>3. מדידות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</si>
</sst>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"/>
    <numFmt numFmtId="166" formatCode="0.0000"/>
    <numFmt numFmtId="169" formatCode="0.0000000"/>
    <numFmt numFmtId="171" formatCode="0.0"/>
  </numFmts>
  <fonts count="18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9"/>
      <color theme="1"/>
      <name val="Arial"/>
      <family val="2"/>
      <charset val="177"/>
      <scheme val="minor"/>
    </font>
    <font>
      <sz val="8"/>
      <color theme="1"/>
      <name val="Arial"/>
      <family val="2"/>
      <scheme val="minor"/>
    </font>
    <font>
      <sz val="11"/>
      <color theme="0" tint="-0.14999847407452621"/>
      <name val="Arial"/>
      <family val="2"/>
      <scheme val="minor"/>
    </font>
    <font>
      <sz val="11"/>
      <color theme="0" tint="-0.14999847407452621"/>
      <name val="Arial"/>
      <family val="2"/>
      <charset val="177"/>
      <scheme val="minor"/>
    </font>
    <font>
      <sz val="11"/>
      <color theme="8" tint="-0.249977111117893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9"/>
      <color rgb="FFFF0000"/>
      <name val="Arial"/>
      <family val="2"/>
      <charset val="177"/>
      <scheme val="minor"/>
    </font>
    <font>
      <sz val="11"/>
      <name val="Arial"/>
      <family val="2"/>
      <scheme val="minor"/>
    </font>
    <font>
      <sz val="11"/>
      <color theme="2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5" fillId="8" borderId="0" applyNumberFormat="0" applyBorder="0" applyAlignment="0" applyProtection="0"/>
  </cellStyleXfs>
  <cellXfs count="136">
    <xf numFmtId="0" fontId="0" fillId="0" borderId="0" xfId="0"/>
    <xf numFmtId="0" fontId="3" fillId="0" borderId="0" xfId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2" fillId="3" borderId="0" xfId="0" applyFont="1" applyFill="1"/>
    <xf numFmtId="0" fontId="1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right" readingOrder="2"/>
    </xf>
    <xf numFmtId="0" fontId="1" fillId="0" borderId="0" xfId="0" applyFont="1"/>
    <xf numFmtId="0" fontId="9" fillId="0" borderId="0" xfId="0" applyFont="1" applyAlignment="1">
      <alignment horizontal="center" vertical="center" wrapText="1"/>
    </xf>
    <xf numFmtId="0" fontId="2" fillId="2" borderId="0" xfId="0" applyFont="1" applyFill="1"/>
    <xf numFmtId="0" fontId="0" fillId="3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 readingOrder="2"/>
    </xf>
    <xf numFmtId="0" fontId="0" fillId="3" borderId="1" xfId="0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/>
    <xf numFmtId="0" fontId="0" fillId="5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3" fillId="0" borderId="1" xfId="0" applyFont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2" fontId="14" fillId="4" borderId="1" xfId="0" applyNumberFormat="1" applyFont="1" applyFill="1" applyBorder="1" applyAlignment="1">
      <alignment horizontal="center" vertical="center" wrapText="1"/>
    </xf>
    <xf numFmtId="164" fontId="14" fillId="4" borderId="1" xfId="0" applyNumberFormat="1" applyFont="1" applyFill="1" applyBorder="1" applyAlignment="1">
      <alignment horizontal="center" vertical="center" wrapText="1"/>
    </xf>
    <xf numFmtId="165" fontId="14" fillId="4" borderId="1" xfId="0" applyNumberFormat="1" applyFont="1" applyFill="1" applyBorder="1" applyAlignment="1">
      <alignment horizontal="center" vertical="center" wrapText="1"/>
    </xf>
    <xf numFmtId="1" fontId="14" fillId="4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2" fontId="14" fillId="0" borderId="0" xfId="0" applyNumberFormat="1" applyFont="1" applyAlignment="1">
      <alignment horizontal="center" vertical="center" wrapText="1"/>
    </xf>
    <xf numFmtId="164" fontId="14" fillId="0" borderId="0" xfId="0" applyNumberFormat="1" applyFont="1" applyAlignment="1">
      <alignment horizontal="center" vertical="center" wrapText="1"/>
    </xf>
    <xf numFmtId="165" fontId="14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5" fillId="8" borderId="1" xfId="2" applyBorder="1" applyAlignment="1">
      <alignment horizontal="center" vertical="center" wrapText="1"/>
    </xf>
    <xf numFmtId="0" fontId="15" fillId="8" borderId="1" xfId="2" applyBorder="1" applyAlignment="1">
      <alignment horizontal="center" vertical="center"/>
    </xf>
    <xf numFmtId="2" fontId="15" fillId="8" borderId="1" xfId="2" applyNumberFormat="1" applyBorder="1" applyAlignment="1">
      <alignment horizontal="center" vertical="center"/>
    </xf>
    <xf numFmtId="164" fontId="15" fillId="8" borderId="1" xfId="2" applyNumberFormat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2" fillId="0" borderId="0" xfId="0" applyFont="1"/>
    <xf numFmtId="0" fontId="0" fillId="9" borderId="1" xfId="0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13" fillId="0" borderId="0" xfId="0" applyNumberFormat="1" applyFont="1" applyAlignment="1">
      <alignment horizontal="center" vertical="center" wrapText="1"/>
    </xf>
    <xf numFmtId="0" fontId="0" fillId="10" borderId="0" xfId="0" applyFill="1"/>
    <xf numFmtId="0" fontId="16" fillId="10" borderId="0" xfId="0" applyFont="1" applyFill="1"/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6" fillId="10" borderId="0" xfId="0" applyFont="1" applyFill="1" applyAlignment="1">
      <alignment horizontal="center" wrapText="1" readingOrder="2"/>
    </xf>
    <xf numFmtId="0" fontId="1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0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6" fontId="13" fillId="0" borderId="1" xfId="0" applyNumberFormat="1" applyFont="1" applyBorder="1" applyAlignment="1">
      <alignment horizontal="center" vertical="center" wrapText="1"/>
    </xf>
    <xf numFmtId="166" fontId="0" fillId="4" borderId="1" xfId="0" applyNumberForma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2" fontId="17" fillId="0" borderId="1" xfId="0" applyNumberFormat="1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9" fontId="15" fillId="8" borderId="1" xfId="2" applyNumberFormat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/>
    </xf>
    <xf numFmtId="171" fontId="15" fillId="8" borderId="1" xfId="2" applyNumberFormat="1" applyBorder="1" applyAlignment="1">
      <alignment horizontal="center" vertical="center"/>
    </xf>
    <xf numFmtId="165" fontId="0" fillId="0" borderId="0" xfId="0" applyNumberForma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780508</xdr:colOff>
      <xdr:row>5</xdr:row>
      <xdr:rowOff>103414</xdr:rowOff>
    </xdr:from>
    <xdr:to>
      <xdr:col>13</xdr:col>
      <xdr:colOff>712820</xdr:colOff>
      <xdr:row>11</xdr:row>
      <xdr:rowOff>21771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9D2E83-6EE3-4BE0-9358-12F33C3D23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9321" t="46889" r="33270" b="22060"/>
        <a:stretch/>
      </xdr:blipFill>
      <xdr:spPr>
        <a:xfrm>
          <a:off x="8825051" y="1148443"/>
          <a:ext cx="1478084" cy="1464128"/>
        </a:xfrm>
        <a:prstGeom prst="rect">
          <a:avLst/>
        </a:prstGeom>
      </xdr:spPr>
    </xdr:pic>
    <xdr:clientData/>
  </xdr:twoCellAnchor>
  <xdr:twoCellAnchor editAs="oneCell">
    <xdr:from>
      <xdr:col>11</xdr:col>
      <xdr:colOff>297037</xdr:colOff>
      <xdr:row>18</xdr:row>
      <xdr:rowOff>252897</xdr:rowOff>
    </xdr:from>
    <xdr:to>
      <xdr:col>15</xdr:col>
      <xdr:colOff>489858</xdr:colOff>
      <xdr:row>40</xdr:row>
      <xdr:rowOff>348343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2DA9FB-CFA4-C81F-8BE2-92137DC59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99523" y="4062897"/>
          <a:ext cx="3393221" cy="49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htl.uwaterloo.ca/old/onlinetools/airprop/airpro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4022-72FF-42E6-8CED-592AA5BC4454}">
  <dimension ref="A1:AJ75"/>
  <sheetViews>
    <sheetView tabSelected="1" topLeftCell="A63" zoomScale="130" zoomScaleNormal="130" workbookViewId="0">
      <selection activeCell="U53" sqref="U53"/>
    </sheetView>
  </sheetViews>
  <sheetFormatPr defaultRowHeight="13.8" x14ac:dyDescent="0.25"/>
  <cols>
    <col min="1" max="1" width="9.69921875" customWidth="1"/>
    <col min="2" max="2" width="13.59765625" customWidth="1"/>
    <col min="3" max="3" width="11.69921875" customWidth="1"/>
    <col min="4" max="4" width="12.8984375" customWidth="1"/>
    <col min="5" max="5" width="11.8984375" customWidth="1"/>
    <col min="6" max="6" width="9.296875" customWidth="1"/>
    <col min="7" max="8" width="9.69921875" customWidth="1"/>
    <col min="9" max="9" width="10.69921875" customWidth="1"/>
    <col min="10" max="10" width="10.09765625" customWidth="1"/>
    <col min="12" max="12" width="11.3984375" customWidth="1"/>
    <col min="14" max="16" width="10.8984375" customWidth="1"/>
    <col min="19" max="19" width="10.5" customWidth="1"/>
    <col min="21" max="21" width="12.3984375" customWidth="1"/>
    <col min="23" max="23" width="10.69921875" customWidth="1"/>
    <col min="24" max="24" width="12.69921875" customWidth="1"/>
    <col min="25" max="25" width="10.3984375" customWidth="1"/>
    <col min="27" max="27" width="12.296875" customWidth="1"/>
    <col min="28" max="30" width="13.3984375" customWidth="1"/>
    <col min="34" max="34" width="39.3984375" customWidth="1"/>
    <col min="35" max="35" width="19" customWidth="1"/>
    <col min="36" max="36" width="20.09765625" customWidth="1"/>
  </cols>
  <sheetData>
    <row r="1" spans="1:26" ht="27.6" x14ac:dyDescent="0.25">
      <c r="A1" s="38" t="s">
        <v>0</v>
      </c>
      <c r="B1" s="23"/>
      <c r="C1" s="23"/>
      <c r="D1" s="23"/>
      <c r="I1" s="6"/>
      <c r="J1" s="30" t="s">
        <v>22</v>
      </c>
      <c r="K1" s="37" t="s">
        <v>23</v>
      </c>
    </row>
    <row r="2" spans="1:26" x14ac:dyDescent="0.25">
      <c r="A2" s="39" t="s">
        <v>27</v>
      </c>
      <c r="B2" s="39"/>
      <c r="C2" s="39"/>
      <c r="D2" s="39"/>
      <c r="I2" s="43"/>
      <c r="J2" s="8">
        <v>45039</v>
      </c>
      <c r="K2" s="4" t="s">
        <v>71</v>
      </c>
    </row>
    <row r="3" spans="1:26" x14ac:dyDescent="0.25">
      <c r="W3" t="s">
        <v>43</v>
      </c>
    </row>
    <row r="4" spans="1:26" x14ac:dyDescent="0.25">
      <c r="W4" t="s">
        <v>44</v>
      </c>
    </row>
    <row r="5" spans="1:26" x14ac:dyDescent="0.25">
      <c r="A5" s="29" t="s">
        <v>16</v>
      </c>
      <c r="B5" s="29"/>
      <c r="E5" s="111"/>
      <c r="F5" s="112"/>
      <c r="G5" s="112"/>
      <c r="H5" s="112"/>
      <c r="I5" s="112"/>
    </row>
    <row r="6" spans="1:26" ht="29.4" customHeight="1" x14ac:dyDescent="0.25">
      <c r="A6" s="41" t="s">
        <v>1</v>
      </c>
      <c r="B6" s="41" t="s">
        <v>2</v>
      </c>
      <c r="C6" s="41" t="s">
        <v>3</v>
      </c>
      <c r="D6" s="41" t="s">
        <v>4</v>
      </c>
      <c r="E6" s="116"/>
      <c r="F6" s="116"/>
      <c r="G6" s="116"/>
      <c r="H6" s="116"/>
      <c r="I6" s="116"/>
      <c r="S6" s="48" t="str">
        <f>"-1600 to 1600 range of steps to get a degrees of 90 to -90 deg, on the controler software"</f>
        <v>-1600 to 1600 range of steps to get a degrees of 90 to -90 deg, on the controler software</v>
      </c>
      <c r="T6" s="49"/>
      <c r="U6" s="49"/>
      <c r="V6" s="49"/>
      <c r="W6" s="49"/>
      <c r="X6" s="49"/>
      <c r="Y6" s="49"/>
      <c r="Z6" s="50"/>
    </row>
    <row r="7" spans="1:26" ht="37.950000000000003" customHeight="1" x14ac:dyDescent="0.25">
      <c r="A7" s="3" t="s">
        <v>6</v>
      </c>
      <c r="B7" s="3" t="s">
        <v>7</v>
      </c>
      <c r="C7" s="3" t="s">
        <v>8</v>
      </c>
      <c r="D7" s="3" t="s">
        <v>5</v>
      </c>
      <c r="E7" s="6"/>
      <c r="F7" s="6"/>
      <c r="G7" s="6"/>
      <c r="H7" s="6"/>
      <c r="I7" s="6"/>
      <c r="S7" s="51" t="s">
        <v>48</v>
      </c>
      <c r="T7" s="52"/>
      <c r="U7" s="52"/>
      <c r="V7" s="52"/>
      <c r="W7" s="52"/>
      <c r="X7" s="52"/>
      <c r="Y7" s="52"/>
      <c r="Z7" s="53"/>
    </row>
    <row r="8" spans="1:26" x14ac:dyDescent="0.25">
      <c r="A8" s="4">
        <f>2/100</f>
        <v>0.02</v>
      </c>
      <c r="B8" s="4">
        <f>23/100</f>
        <v>0.23</v>
      </c>
      <c r="C8" s="4">
        <f>11/100</f>
        <v>0.11</v>
      </c>
      <c r="D8" s="4">
        <f>C8*B8</f>
        <v>2.53E-2</v>
      </c>
      <c r="E8" s="27"/>
      <c r="F8" s="27"/>
      <c r="G8" s="27"/>
      <c r="H8" s="27"/>
      <c r="I8" s="27"/>
    </row>
    <row r="9" spans="1:26" x14ac:dyDescent="0.25">
      <c r="E9" s="27"/>
      <c r="F9" s="27"/>
      <c r="G9" s="27"/>
      <c r="H9" s="27"/>
      <c r="I9" s="27"/>
    </row>
    <row r="13" spans="1:26" x14ac:dyDescent="0.25">
      <c r="A13" s="92"/>
      <c r="B13" s="92"/>
      <c r="C13" s="92"/>
      <c r="D13" s="92"/>
      <c r="R13" s="92"/>
      <c r="T13" s="92"/>
      <c r="U13" s="92"/>
      <c r="V13" s="92"/>
    </row>
    <row r="16" spans="1:26" x14ac:dyDescent="0.25">
      <c r="A16" s="100" t="s">
        <v>29</v>
      </c>
      <c r="B16" s="99"/>
      <c r="C16" s="99"/>
      <c r="D16" s="99"/>
      <c r="E16" s="99"/>
      <c r="F16" s="99"/>
      <c r="G16" s="99"/>
      <c r="H16" s="99"/>
      <c r="I16" s="99"/>
      <c r="J16" s="99"/>
    </row>
    <row r="17" spans="1:24" x14ac:dyDescent="0.25">
      <c r="B17" s="1" t="s">
        <v>13</v>
      </c>
    </row>
    <row r="19" spans="1:24" ht="27.6" x14ac:dyDescent="0.25">
      <c r="A19" s="40" t="s">
        <v>18</v>
      </c>
      <c r="B19" s="40" t="s">
        <v>17</v>
      </c>
      <c r="C19" s="40" t="s">
        <v>15</v>
      </c>
      <c r="D19" s="28" t="s">
        <v>21</v>
      </c>
    </row>
    <row r="20" spans="1:24" x14ac:dyDescent="0.25">
      <c r="A20" s="4">
        <v>32</v>
      </c>
      <c r="B20" s="78">
        <v>994.57</v>
      </c>
      <c r="C20" s="79">
        <v>7.4507000000000002E-4</v>
      </c>
    </row>
    <row r="21" spans="1:24" x14ac:dyDescent="0.25">
      <c r="A21" s="24"/>
      <c r="B21" s="24"/>
      <c r="C21" s="24"/>
    </row>
    <row r="22" spans="1:24" x14ac:dyDescent="0.25">
      <c r="A22" s="14"/>
      <c r="B22" s="15"/>
      <c r="C22" s="16"/>
      <c r="D22" s="17"/>
      <c r="E22" s="15"/>
      <c r="F22" s="18"/>
    </row>
    <row r="23" spans="1:24" x14ac:dyDescent="0.25">
      <c r="A23" s="14"/>
      <c r="B23" s="15"/>
      <c r="C23" s="16"/>
      <c r="D23" s="17"/>
      <c r="E23" s="15"/>
      <c r="F23" s="18"/>
      <c r="I23" s="26"/>
    </row>
    <row r="24" spans="1:24" x14ac:dyDescent="0.25">
      <c r="A24" s="14"/>
      <c r="B24" s="15"/>
      <c r="C24" s="16"/>
      <c r="D24" s="17"/>
      <c r="E24" s="15"/>
      <c r="F24" s="18"/>
      <c r="I24" s="26"/>
    </row>
    <row r="25" spans="1:24" x14ac:dyDescent="0.25">
      <c r="A25" s="14"/>
      <c r="B25" s="115" t="s">
        <v>30</v>
      </c>
      <c r="C25" s="115"/>
      <c r="D25" s="115"/>
      <c r="E25" s="115"/>
      <c r="F25" s="115"/>
      <c r="G25" s="115"/>
      <c r="H25" s="36"/>
      <c r="I25" s="26"/>
    </row>
    <row r="26" spans="1:24" x14ac:dyDescent="0.25">
      <c r="B26" s="115"/>
      <c r="C26" s="115"/>
      <c r="D26" s="115"/>
      <c r="E26" s="115"/>
      <c r="F26" s="115"/>
      <c r="G26" s="115"/>
      <c r="H26" s="36"/>
    </row>
    <row r="27" spans="1:24" x14ac:dyDescent="0.25">
      <c r="A27" s="25"/>
      <c r="J27" s="112"/>
      <c r="K27" s="112"/>
      <c r="L27" s="112"/>
      <c r="M27" s="112"/>
      <c r="R27" s="112"/>
      <c r="S27" s="112"/>
      <c r="T27" s="112"/>
      <c r="U27" s="112"/>
      <c r="V27" s="112"/>
      <c r="W27" s="112"/>
      <c r="X27" s="112"/>
    </row>
    <row r="28" spans="1:24" s="5" customFormat="1" ht="35.4" customHeight="1" x14ac:dyDescent="0.25">
      <c r="A28" s="19"/>
      <c r="B28" s="117" t="s">
        <v>9</v>
      </c>
      <c r="C28" s="117"/>
      <c r="D28" s="117"/>
      <c r="E28" s="118" t="s">
        <v>19</v>
      </c>
      <c r="F28" s="118"/>
      <c r="G28" s="31" t="s">
        <v>28</v>
      </c>
      <c r="H28" s="42"/>
      <c r="J28" s="80"/>
      <c r="K28" s="114"/>
      <c r="L28" s="114"/>
      <c r="S28" s="113"/>
      <c r="T28" s="113"/>
      <c r="U28" s="113"/>
      <c r="V28" s="114"/>
      <c r="W28" s="114"/>
      <c r="X28"/>
    </row>
    <row r="29" spans="1:24" ht="55.95" customHeight="1" x14ac:dyDescent="0.25">
      <c r="B29" s="30" t="s">
        <v>10</v>
      </c>
      <c r="C29" s="30" t="s">
        <v>11</v>
      </c>
      <c r="D29" s="30" t="s">
        <v>12</v>
      </c>
      <c r="E29" s="30" t="s">
        <v>37</v>
      </c>
      <c r="F29" s="30" t="s">
        <v>36</v>
      </c>
      <c r="G29" s="30" t="s">
        <v>25</v>
      </c>
      <c r="H29" s="6"/>
      <c r="I29" s="6"/>
      <c r="J29" s="6"/>
      <c r="K29" s="6"/>
      <c r="L29" s="6"/>
      <c r="M29" s="6"/>
      <c r="R29" s="6"/>
      <c r="S29" s="6"/>
      <c r="T29" s="6"/>
      <c r="U29" s="6"/>
      <c r="V29" s="6"/>
      <c r="W29" s="6"/>
      <c r="X29" s="6"/>
    </row>
    <row r="30" spans="1:24" x14ac:dyDescent="0.25">
      <c r="B30" s="9">
        <v>20</v>
      </c>
      <c r="C30" s="10">
        <f>B30/60</f>
        <v>0.33333333333333331</v>
      </c>
      <c r="D30" s="11">
        <f>C30*0.001</f>
        <v>3.3333333333333332E-4</v>
      </c>
      <c r="E30" s="12">
        <f>D30/$D$8</f>
        <v>1.3175230566534914E-2</v>
      </c>
      <c r="F30" s="10">
        <f>100*E30</f>
        <v>1.3175230566534915</v>
      </c>
      <c r="G30" s="13">
        <f t="shared" ref="G30:G34" si="0">$B$20*E30*$A$8/$C$20</f>
        <v>351.74383788257825</v>
      </c>
      <c r="H30" s="13"/>
      <c r="I30" s="9"/>
    </row>
    <row r="31" spans="1:24" x14ac:dyDescent="0.25">
      <c r="B31" s="54">
        <f>B30+10</f>
        <v>30</v>
      </c>
      <c r="C31" s="55">
        <f>B31/60</f>
        <v>0.5</v>
      </c>
      <c r="D31" s="56">
        <f t="shared" ref="D31:D34" si="1">C31*0.001</f>
        <v>5.0000000000000001E-4</v>
      </c>
      <c r="E31" s="125">
        <f t="shared" ref="E31:E34" si="2">D31/$D$8</f>
        <v>1.9762845849802372E-2</v>
      </c>
      <c r="F31" s="55">
        <f t="shared" ref="F31:F34" si="3">100*E31</f>
        <v>1.9762845849802373</v>
      </c>
      <c r="G31" s="57">
        <f>$B$20*E31*$A$8/$C$20</f>
        <v>527.6157568238674</v>
      </c>
      <c r="H31" s="13"/>
      <c r="I31" s="9"/>
    </row>
    <row r="32" spans="1:24" x14ac:dyDescent="0.25">
      <c r="B32" s="32">
        <v>35</v>
      </c>
      <c r="C32" s="33">
        <f t="shared" ref="C32:C34" si="4">B32/60</f>
        <v>0.58333333333333337</v>
      </c>
      <c r="D32" s="34">
        <f t="shared" si="1"/>
        <v>5.8333333333333338E-4</v>
      </c>
      <c r="E32" s="126">
        <f t="shared" si="2"/>
        <v>2.3056653491436103E-2</v>
      </c>
      <c r="F32" s="33">
        <f t="shared" si="3"/>
        <v>2.3056653491436103</v>
      </c>
      <c r="G32" s="35">
        <f t="shared" si="0"/>
        <v>615.55171629451206</v>
      </c>
      <c r="H32" s="91"/>
      <c r="I32" s="6"/>
    </row>
    <row r="33" spans="1:34" x14ac:dyDescent="0.25">
      <c r="B33" s="7">
        <v>40</v>
      </c>
      <c r="C33" s="20">
        <f t="shared" si="4"/>
        <v>0.66666666666666663</v>
      </c>
      <c r="D33" s="21">
        <f t="shared" si="1"/>
        <v>6.6666666666666664E-4</v>
      </c>
      <c r="E33" s="127">
        <f t="shared" si="2"/>
        <v>2.6350461133069828E-2</v>
      </c>
      <c r="F33" s="20">
        <f t="shared" si="3"/>
        <v>2.6350461133069829</v>
      </c>
      <c r="G33" s="22">
        <f t="shared" si="0"/>
        <v>703.4876757651565</v>
      </c>
      <c r="H33" s="91"/>
      <c r="I33" s="6"/>
    </row>
    <row r="34" spans="1:34" x14ac:dyDescent="0.25">
      <c r="B34" s="58">
        <v>45</v>
      </c>
      <c r="C34" s="59">
        <f t="shared" si="4"/>
        <v>0.75</v>
      </c>
      <c r="D34" s="60">
        <f t="shared" si="1"/>
        <v>7.5000000000000002E-4</v>
      </c>
      <c r="E34" s="61">
        <f t="shared" si="2"/>
        <v>2.964426877470356E-2</v>
      </c>
      <c r="F34" s="59">
        <f t="shared" si="3"/>
        <v>2.9644268774703559</v>
      </c>
      <c r="G34" s="62">
        <f t="shared" si="0"/>
        <v>791.42363523580127</v>
      </c>
      <c r="H34" s="91"/>
      <c r="I34" s="6"/>
    </row>
    <row r="35" spans="1:34" x14ac:dyDescent="0.25">
      <c r="A35" s="14"/>
      <c r="B35" s="14"/>
      <c r="C35" s="15"/>
      <c r="D35" s="16"/>
      <c r="E35" s="17"/>
      <c r="F35" s="15"/>
      <c r="G35" s="18"/>
      <c r="H35" s="18"/>
    </row>
    <row r="36" spans="1:34" x14ac:dyDescent="0.25">
      <c r="A36" s="14"/>
      <c r="B36" s="14"/>
      <c r="C36" s="15"/>
      <c r="D36" s="16"/>
      <c r="E36" s="17"/>
      <c r="F36" s="15"/>
      <c r="G36" s="18"/>
      <c r="H36" s="18"/>
    </row>
    <row r="37" spans="1:34" x14ac:dyDescent="0.25">
      <c r="C37" s="63"/>
    </row>
    <row r="38" spans="1:34" ht="14.4" customHeight="1" thickBot="1" x14ac:dyDescent="0.3">
      <c r="B38" s="99" t="s">
        <v>72</v>
      </c>
    </row>
    <row r="39" spans="1:34" ht="14.4" thickBot="1" x14ac:dyDescent="0.3">
      <c r="A39" s="19"/>
      <c r="B39" s="6"/>
      <c r="C39" s="6"/>
      <c r="D39" s="6"/>
      <c r="E39" s="64"/>
      <c r="F39" s="64"/>
      <c r="G39" s="42"/>
      <c r="Q39" s="72" t="s">
        <v>61</v>
      </c>
      <c r="R39" s="108" t="s">
        <v>46</v>
      </c>
      <c r="S39" s="109"/>
      <c r="T39" s="109"/>
      <c r="U39" s="109"/>
      <c r="V39" s="109"/>
      <c r="W39" s="110"/>
    </row>
    <row r="40" spans="1:34" ht="14.4" customHeight="1" thickBot="1" x14ac:dyDescent="0.3">
      <c r="B40" s="73" t="s">
        <v>59</v>
      </c>
      <c r="C40" s="6"/>
      <c r="E40" s="6"/>
      <c r="G40" s="6"/>
      <c r="R40" s="5"/>
      <c r="S40" s="101" t="s">
        <v>35</v>
      </c>
      <c r="T40" s="102"/>
      <c r="U40" s="103" t="s">
        <v>34</v>
      </c>
      <c r="V40" s="104"/>
    </row>
    <row r="41" spans="1:34" ht="36" customHeight="1" thickBot="1" x14ac:dyDescent="0.3">
      <c r="B41" s="9"/>
      <c r="C41" s="30" t="s">
        <v>10</v>
      </c>
      <c r="D41" s="30" t="s">
        <v>51</v>
      </c>
      <c r="E41" s="30" t="s">
        <v>52</v>
      </c>
      <c r="F41" s="40" t="s">
        <v>18</v>
      </c>
      <c r="G41" s="40" t="s">
        <v>17</v>
      </c>
      <c r="H41" s="40" t="s">
        <v>15</v>
      </c>
      <c r="I41" s="30" t="s">
        <v>53</v>
      </c>
      <c r="J41" s="30" t="s">
        <v>56</v>
      </c>
      <c r="K41" s="30" t="s">
        <v>54</v>
      </c>
      <c r="Q41" s="30" t="s">
        <v>10</v>
      </c>
      <c r="R41" s="30" t="s">
        <v>24</v>
      </c>
      <c r="S41" s="47" t="s">
        <v>31</v>
      </c>
      <c r="T41" s="47" t="s">
        <v>45</v>
      </c>
      <c r="U41" s="47" t="s">
        <v>32</v>
      </c>
      <c r="V41" s="47" t="s">
        <v>33</v>
      </c>
      <c r="W41" s="47" t="s">
        <v>26</v>
      </c>
      <c r="AA41" s="47" t="s">
        <v>38</v>
      </c>
      <c r="AB41" s="47" t="s">
        <v>39</v>
      </c>
      <c r="AC41" s="47" t="s">
        <v>49</v>
      </c>
      <c r="AD41" s="47" t="s">
        <v>50</v>
      </c>
      <c r="AH41" s="75" t="s">
        <v>63</v>
      </c>
    </row>
    <row r="42" spans="1:34" ht="14.4" customHeight="1" x14ac:dyDescent="0.25">
      <c r="C42" s="54">
        <v>30</v>
      </c>
      <c r="D42" s="2">
        <f>4.6/1613*120/0.025</f>
        <v>13.688778673279602</v>
      </c>
      <c r="E42" s="56">
        <f>D42/1000</f>
        <v>1.3688778673279603E-2</v>
      </c>
      <c r="G42" s="45"/>
      <c r="H42" s="46"/>
      <c r="I42" s="57">
        <f>$B$20*E42*$A$8/$C$20</f>
        <v>365.45421517665977</v>
      </c>
      <c r="J42" s="2">
        <v>25000</v>
      </c>
      <c r="K42" s="2" t="s">
        <v>55</v>
      </c>
      <c r="Q42" s="54">
        <f>B31</f>
        <v>30</v>
      </c>
      <c r="R42" s="37">
        <v>1.3</v>
      </c>
      <c r="S42" s="44"/>
      <c r="T42" s="44">
        <v>0</v>
      </c>
      <c r="U42" s="44"/>
      <c r="V42" s="44"/>
      <c r="W42" s="44" t="s">
        <v>58</v>
      </c>
      <c r="AA42" s="44"/>
      <c r="AB42" s="44"/>
      <c r="AC42" s="44"/>
      <c r="AD42" s="44"/>
    </row>
    <row r="43" spans="1:34" x14ac:dyDescent="0.25">
      <c r="B43" s="6">
        <v>1.2</v>
      </c>
      <c r="C43" s="32">
        <v>35</v>
      </c>
      <c r="D43" s="2">
        <f>7.1/1613*120/0.025</f>
        <v>21.128332300061995</v>
      </c>
      <c r="E43" s="56">
        <f t="shared" ref="E43:E44" si="5">D43/1000</f>
        <v>2.1128332300061996E-2</v>
      </c>
      <c r="F43" s="71">
        <v>34</v>
      </c>
      <c r="G43" s="76"/>
      <c r="H43" s="77"/>
      <c r="I43" s="57">
        <f>$B$20*E43*$A$8/$C$20</f>
        <v>564.07063646832273</v>
      </c>
      <c r="J43" s="22"/>
      <c r="K43" s="2"/>
      <c r="Q43" s="32">
        <v>35</v>
      </c>
      <c r="R43" s="37">
        <v>1.2</v>
      </c>
      <c r="S43" s="4">
        <v>34</v>
      </c>
      <c r="T43" s="4">
        <v>0</v>
      </c>
      <c r="U43" s="4">
        <v>250</v>
      </c>
      <c r="V43" s="4">
        <v>299</v>
      </c>
      <c r="W43" s="44" t="s">
        <v>57</v>
      </c>
      <c r="AA43" s="4">
        <v>10</v>
      </c>
      <c r="AB43" s="4"/>
      <c r="AC43" s="4">
        <v>20</v>
      </c>
      <c r="AD43" s="4"/>
    </row>
    <row r="44" spans="1:34" x14ac:dyDescent="0.25">
      <c r="B44" s="65">
        <v>1.1000000000000001</v>
      </c>
      <c r="C44" s="7">
        <v>40</v>
      </c>
      <c r="D44" s="21"/>
      <c r="E44" s="56"/>
      <c r="F44" s="124">
        <v>32</v>
      </c>
      <c r="G44" s="76"/>
      <c r="H44" s="77"/>
      <c r="I44" s="57">
        <f>$B$20*E44*$A$8/$C$20</f>
        <v>0</v>
      </c>
      <c r="J44" s="22"/>
      <c r="K44" s="2"/>
      <c r="Q44" s="7">
        <v>40</v>
      </c>
      <c r="R44" s="37">
        <v>1.1000000000000001</v>
      </c>
      <c r="S44" s="44">
        <v>32</v>
      </c>
      <c r="T44" s="44">
        <v>0</v>
      </c>
      <c r="U44" s="44">
        <v>200</v>
      </c>
      <c r="V44" s="44">
        <v>249</v>
      </c>
      <c r="W44" s="44" t="s">
        <v>57</v>
      </c>
      <c r="AA44" s="44">
        <v>10</v>
      </c>
      <c r="AB44" s="44"/>
      <c r="AC44" s="44">
        <v>20</v>
      </c>
      <c r="AD44" s="44"/>
    </row>
    <row r="45" spans="1:34" x14ac:dyDescent="0.25">
      <c r="B45" s="66"/>
      <c r="C45" s="67"/>
      <c r="D45" s="68"/>
      <c r="E45" s="69"/>
      <c r="F45" s="67"/>
      <c r="G45" s="70"/>
      <c r="Q45" s="6"/>
      <c r="R45" s="90"/>
      <c r="S45" s="90"/>
      <c r="T45" s="90"/>
      <c r="U45" s="90"/>
      <c r="V45" s="90"/>
      <c r="W45" s="90"/>
      <c r="AA45" s="44"/>
      <c r="AB45" s="44"/>
      <c r="AC45" s="44"/>
      <c r="AD45" s="44"/>
    </row>
    <row r="48" spans="1:34" ht="14.4" thickBot="1" x14ac:dyDescent="0.3">
      <c r="B48" s="72" t="s">
        <v>60</v>
      </c>
      <c r="C48" s="6"/>
      <c r="E48" s="6"/>
      <c r="G48" s="6"/>
    </row>
    <row r="49" spans="2:36" ht="28.2" thickBot="1" x14ac:dyDescent="0.3">
      <c r="B49" s="9"/>
      <c r="C49" s="30" t="s">
        <v>10</v>
      </c>
      <c r="D49" s="30" t="s">
        <v>51</v>
      </c>
      <c r="E49" s="30" t="s">
        <v>52</v>
      </c>
      <c r="F49" s="40" t="s">
        <v>18</v>
      </c>
      <c r="G49" s="40" t="s">
        <v>17</v>
      </c>
      <c r="H49" s="40" t="s">
        <v>15</v>
      </c>
      <c r="I49" s="30" t="s">
        <v>53</v>
      </c>
      <c r="J49" s="30" t="s">
        <v>56</v>
      </c>
      <c r="K49" s="30" t="s">
        <v>54</v>
      </c>
      <c r="Q49" s="72" t="s">
        <v>62</v>
      </c>
      <c r="R49" s="105" t="s">
        <v>46</v>
      </c>
      <c r="S49" s="106"/>
      <c r="T49" s="106"/>
      <c r="U49" s="106"/>
      <c r="V49" s="106"/>
      <c r="W49" s="107"/>
    </row>
    <row r="50" spans="2:36" ht="13.8" customHeight="1" x14ac:dyDescent="0.25">
      <c r="B50" s="65">
        <v>2.1</v>
      </c>
      <c r="C50" s="54">
        <v>30</v>
      </c>
      <c r="D50" s="133">
        <f>5.8/1613*120/0.025</f>
        <v>17.259764414135152</v>
      </c>
      <c r="E50" s="132">
        <f>D50/1000</f>
        <v>1.725976441413515E-2</v>
      </c>
      <c r="F50" s="128">
        <f>S52</f>
        <v>32</v>
      </c>
      <c r="G50" s="129">
        <v>994.57</v>
      </c>
      <c r="H50" s="130">
        <v>7.4507000000000002E-4</v>
      </c>
      <c r="I50" s="57">
        <f>$G$50*E50*$A$8/$H$50</f>
        <v>460.79009739665798</v>
      </c>
      <c r="J50" s="4">
        <v>25000</v>
      </c>
      <c r="K50" s="4" t="s">
        <v>55</v>
      </c>
      <c r="R50" s="5"/>
      <c r="S50" s="101" t="s">
        <v>35</v>
      </c>
      <c r="T50" s="122"/>
      <c r="U50" s="123" t="s">
        <v>34</v>
      </c>
      <c r="V50" s="123"/>
      <c r="W50" s="104"/>
    </row>
    <row r="51" spans="2:36" ht="40.200000000000003" customHeight="1" x14ac:dyDescent="0.25">
      <c r="B51" s="6">
        <v>2.2000000000000002</v>
      </c>
      <c r="C51" s="81">
        <v>35</v>
      </c>
      <c r="D51" s="134">
        <f>7.14/1613*120/0.025</f>
        <v>21.247365158090513</v>
      </c>
      <c r="E51" s="131">
        <f>D51/1000</f>
        <v>2.1247365158090514E-2</v>
      </c>
      <c r="F51" s="82">
        <v>33</v>
      </c>
      <c r="G51" s="83">
        <v>994.25</v>
      </c>
      <c r="H51" s="84">
        <v>7.2973999999999999E-4</v>
      </c>
      <c r="I51" s="57">
        <f>$G$51*E51*$A$8/$H$51</f>
        <v>578.97861727276813</v>
      </c>
      <c r="J51" s="22"/>
      <c r="K51" s="4"/>
      <c r="Q51" s="30" t="s">
        <v>10</v>
      </c>
      <c r="R51" s="30" t="s">
        <v>24</v>
      </c>
      <c r="S51" s="47" t="s">
        <v>31</v>
      </c>
      <c r="T51" s="47" t="s">
        <v>45</v>
      </c>
      <c r="U51" s="47" t="s">
        <v>32</v>
      </c>
      <c r="V51" s="47" t="s">
        <v>33</v>
      </c>
      <c r="W51" s="47" t="s">
        <v>26</v>
      </c>
      <c r="AA51" s="47" t="s">
        <v>38</v>
      </c>
      <c r="AB51" s="47" t="s">
        <v>39</v>
      </c>
      <c r="AC51" s="47" t="s">
        <v>49</v>
      </c>
      <c r="AD51" s="47" t="s">
        <v>50</v>
      </c>
      <c r="AH51" s="74" t="s">
        <v>64</v>
      </c>
    </row>
    <row r="52" spans="2:36" ht="14.25" customHeight="1" x14ac:dyDescent="0.25">
      <c r="B52" s="6"/>
      <c r="C52" s="6"/>
      <c r="D52" s="94"/>
      <c r="E52" s="95"/>
      <c r="F52" s="90"/>
      <c r="G52" s="96"/>
      <c r="H52" s="97"/>
      <c r="I52" s="98"/>
      <c r="J52" s="91"/>
      <c r="K52" s="90"/>
      <c r="Q52" s="54">
        <v>30</v>
      </c>
      <c r="R52" s="37">
        <v>2.1</v>
      </c>
      <c r="S52" s="44">
        <v>32</v>
      </c>
      <c r="T52" s="44">
        <v>0</v>
      </c>
      <c r="U52" s="44">
        <v>300</v>
      </c>
      <c r="V52" s="44">
        <v>349</v>
      </c>
      <c r="W52" s="44" t="s">
        <v>57</v>
      </c>
      <c r="AA52" s="44">
        <v>10</v>
      </c>
      <c r="AB52" s="44"/>
      <c r="AC52" s="44">
        <v>23.6</v>
      </c>
      <c r="AD52" s="44"/>
    </row>
    <row r="53" spans="2:36" x14ac:dyDescent="0.25">
      <c r="E53" s="135">
        <v>2.12E-2</v>
      </c>
      <c r="Q53" s="32">
        <v>35</v>
      </c>
      <c r="R53" s="37">
        <v>2.2000000000000002</v>
      </c>
      <c r="S53" s="44">
        <v>32</v>
      </c>
      <c r="T53" s="4">
        <v>0</v>
      </c>
      <c r="U53" s="4">
        <v>400</v>
      </c>
      <c r="V53" s="4">
        <v>649</v>
      </c>
      <c r="W53" s="44" t="s">
        <v>57</v>
      </c>
      <c r="AA53" s="4">
        <v>10</v>
      </c>
      <c r="AB53" s="4"/>
      <c r="AC53" s="4">
        <v>23.6</v>
      </c>
      <c r="AD53" s="4"/>
    </row>
    <row r="54" spans="2:36" x14ac:dyDescent="0.25">
      <c r="E54">
        <v>2.1247365158090514E-2</v>
      </c>
      <c r="Q54" s="6"/>
      <c r="R54" s="90"/>
      <c r="S54" s="90"/>
      <c r="T54" s="90"/>
      <c r="U54" s="90"/>
      <c r="V54" s="90"/>
      <c r="W54" s="90"/>
      <c r="AA54" s="44">
        <v>10</v>
      </c>
      <c r="AB54" s="44"/>
      <c r="AC54" s="44">
        <v>23.6</v>
      </c>
      <c r="AD54" s="44"/>
    </row>
    <row r="55" spans="2:36" x14ac:dyDescent="0.25">
      <c r="Q55" s="6"/>
      <c r="R55" s="90"/>
      <c r="S55" s="90"/>
      <c r="T55" s="90"/>
      <c r="U55" s="90"/>
      <c r="V55" s="90"/>
      <c r="W55" s="90"/>
      <c r="AA55" s="44"/>
      <c r="AB55" s="44"/>
      <c r="AC55" s="44"/>
      <c r="AD55" s="44"/>
      <c r="AH55" t="s">
        <v>65</v>
      </c>
      <c r="AI55" t="s">
        <v>66</v>
      </c>
      <c r="AJ55" t="s">
        <v>67</v>
      </c>
    </row>
    <row r="56" spans="2:36" x14ac:dyDescent="0.25">
      <c r="AH56">
        <v>1387.06</v>
      </c>
      <c r="AI56">
        <f>(AH56/1613)*120</f>
        <v>103.19107253564785</v>
      </c>
      <c r="AJ56">
        <f>AI56/10</f>
        <v>10.319107253564784</v>
      </c>
    </row>
    <row r="58" spans="2:36" ht="14.4" thickBot="1" x14ac:dyDescent="0.3"/>
    <row r="59" spans="2:36" ht="14.4" thickBot="1" x14ac:dyDescent="0.3">
      <c r="Q59" s="72" t="s">
        <v>68</v>
      </c>
      <c r="R59" s="119" t="s">
        <v>47</v>
      </c>
      <c r="S59" s="120"/>
      <c r="T59" s="120"/>
      <c r="U59" s="120"/>
      <c r="V59" s="120"/>
      <c r="W59" s="121"/>
    </row>
    <row r="60" spans="2:36" ht="26.4" customHeight="1" x14ac:dyDescent="0.25">
      <c r="R60" s="5"/>
      <c r="S60" s="101" t="s">
        <v>35</v>
      </c>
      <c r="T60" s="122"/>
      <c r="U60" s="122" t="s">
        <v>34</v>
      </c>
      <c r="V60" s="122"/>
      <c r="W60" s="102"/>
    </row>
    <row r="61" spans="2:36" ht="41.4" x14ac:dyDescent="0.25">
      <c r="Q61" s="30" t="s">
        <v>10</v>
      </c>
      <c r="R61" s="30" t="s">
        <v>24</v>
      </c>
      <c r="S61" s="93" t="s">
        <v>31</v>
      </c>
      <c r="T61" s="93" t="s">
        <v>45</v>
      </c>
      <c r="U61" s="93" t="s">
        <v>32</v>
      </c>
      <c r="V61" s="93" t="s">
        <v>33</v>
      </c>
      <c r="W61" s="93" t="s">
        <v>26</v>
      </c>
    </row>
    <row r="62" spans="2:36" x14ac:dyDescent="0.25">
      <c r="Q62" s="4">
        <v>35</v>
      </c>
      <c r="R62" s="37">
        <v>2.2000000000000002</v>
      </c>
      <c r="S62" s="44"/>
      <c r="T62" s="44">
        <v>0</v>
      </c>
      <c r="U62" s="44"/>
      <c r="V62" s="44"/>
      <c r="W62" s="44" t="s">
        <v>69</v>
      </c>
    </row>
    <row r="63" spans="2:36" x14ac:dyDescent="0.25">
      <c r="Q63" s="4">
        <v>35</v>
      </c>
      <c r="R63" s="37">
        <v>3.1</v>
      </c>
      <c r="S63" s="4">
        <v>34</v>
      </c>
      <c r="T63" s="4">
        <v>3</v>
      </c>
      <c r="U63" s="4">
        <v>700</v>
      </c>
      <c r="V63" s="4">
        <v>949</v>
      </c>
      <c r="W63" s="4" t="s">
        <v>57</v>
      </c>
    </row>
    <row r="64" spans="2:36" x14ac:dyDescent="0.25">
      <c r="Q64" s="4">
        <v>35</v>
      </c>
      <c r="R64" s="37">
        <v>3.2</v>
      </c>
      <c r="S64" s="44">
        <v>35</v>
      </c>
      <c r="T64" s="44">
        <v>5</v>
      </c>
      <c r="U64" s="44">
        <v>1000</v>
      </c>
      <c r="V64" s="44">
        <v>1249</v>
      </c>
      <c r="W64" s="44" t="s">
        <v>57</v>
      </c>
    </row>
    <row r="67" spans="2:23" x14ac:dyDescent="0.25">
      <c r="B67" s="48"/>
      <c r="C67" s="49"/>
      <c r="D67" s="49"/>
      <c r="E67" s="49"/>
      <c r="F67" s="49"/>
      <c r="G67" s="49"/>
      <c r="H67" s="49"/>
      <c r="I67" s="49"/>
      <c r="J67" s="49"/>
      <c r="K67" s="49"/>
      <c r="L67" s="50" t="s">
        <v>40</v>
      </c>
    </row>
    <row r="68" spans="2:23" ht="13.8" customHeight="1" x14ac:dyDescent="0.25">
      <c r="B68" s="88"/>
      <c r="L68" s="89"/>
    </row>
    <row r="69" spans="2:23" ht="27.6" x14ac:dyDescent="0.25">
      <c r="B69" s="88"/>
      <c r="G69" s="4" t="s">
        <v>20</v>
      </c>
      <c r="I69" s="7" t="s">
        <v>70</v>
      </c>
      <c r="L69" s="89"/>
      <c r="N69" s="6"/>
    </row>
    <row r="70" spans="2:23" ht="27.6" x14ac:dyDescent="0.25">
      <c r="B70" s="88"/>
      <c r="C70" s="30" t="s">
        <v>24</v>
      </c>
      <c r="D70" s="30" t="s">
        <v>41</v>
      </c>
      <c r="E70" s="30" t="s">
        <v>17</v>
      </c>
      <c r="F70" s="30" t="s">
        <v>15</v>
      </c>
      <c r="G70" s="30" t="s">
        <v>14</v>
      </c>
      <c r="H70" s="30" t="s">
        <v>42</v>
      </c>
      <c r="I70" s="30" t="s">
        <v>14</v>
      </c>
      <c r="L70" s="89"/>
    </row>
    <row r="71" spans="2:23" x14ac:dyDescent="0.25">
      <c r="B71" s="88"/>
      <c r="C71" s="30">
        <v>2.2000000000000002</v>
      </c>
      <c r="D71" s="44">
        <v>32</v>
      </c>
      <c r="E71" s="85">
        <f>G50</f>
        <v>994.57</v>
      </c>
      <c r="F71" s="86">
        <f>H50</f>
        <v>7.4507000000000002E-4</v>
      </c>
      <c r="G71" s="87">
        <f>$E$71*$E$32*$A$8/$F$71</f>
        <v>615.55171629451206</v>
      </c>
      <c r="H71" s="86">
        <f>E51</f>
        <v>2.1247365158090514E-2</v>
      </c>
      <c r="I71" s="87">
        <f>$E$71*H71*$A$8/$F$71</f>
        <v>567.2484992089893</v>
      </c>
      <c r="L71" s="89"/>
    </row>
    <row r="72" spans="2:23" x14ac:dyDescent="0.25">
      <c r="B72" s="88"/>
      <c r="C72" s="30">
        <v>3.1</v>
      </c>
      <c r="D72" s="4">
        <v>34</v>
      </c>
      <c r="E72" s="78">
        <v>993.92</v>
      </c>
      <c r="F72" s="79">
        <v>7.1491999999999997E-4</v>
      </c>
      <c r="G72" s="87">
        <f>$E$72*$E$32*$A$8/$F$72</f>
        <v>641.09184351278941</v>
      </c>
      <c r="H72">
        <v>2.1247365158090514E-2</v>
      </c>
      <c r="I72" s="87">
        <f>$E$72*H72*$A$8/$F$72</f>
        <v>590.78445638475148</v>
      </c>
      <c r="L72" s="89"/>
    </row>
    <row r="73" spans="2:23" x14ac:dyDescent="0.25">
      <c r="B73" s="88"/>
      <c r="C73" s="30">
        <v>3.2</v>
      </c>
      <c r="D73" s="44">
        <v>35</v>
      </c>
      <c r="E73" s="85">
        <v>993.59</v>
      </c>
      <c r="F73" s="86">
        <v>7.0056999999999997E-4</v>
      </c>
      <c r="G73" s="87">
        <f>$E$73*$E$32*$A$8/$F$73</f>
        <v>654.00631892761612</v>
      </c>
      <c r="H73">
        <v>2.1247365158090514E-2</v>
      </c>
      <c r="I73" s="87">
        <f>$E$73*H73*$A$8/$F$73</f>
        <v>602.68551457890442</v>
      </c>
      <c r="L73" s="89"/>
      <c r="Q73" s="90"/>
      <c r="R73" s="90"/>
      <c r="S73" s="90"/>
      <c r="T73" s="90"/>
      <c r="U73" s="90"/>
      <c r="V73" s="90"/>
      <c r="W73" s="90"/>
    </row>
    <row r="74" spans="2:23" x14ac:dyDescent="0.25">
      <c r="B74" s="88"/>
      <c r="L74" s="89"/>
    </row>
    <row r="75" spans="2:23" x14ac:dyDescent="0.25">
      <c r="B75" s="51"/>
      <c r="C75" s="52"/>
      <c r="D75" s="52"/>
      <c r="E75" s="52"/>
      <c r="F75" s="52"/>
      <c r="G75" s="52"/>
      <c r="H75" s="52"/>
      <c r="I75" s="52"/>
      <c r="J75" s="52"/>
      <c r="K75" s="52"/>
      <c r="L75" s="53"/>
    </row>
  </sheetData>
  <mergeCells count="20">
    <mergeCell ref="R59:W59"/>
    <mergeCell ref="S60:T60"/>
    <mergeCell ref="U60:W60"/>
    <mergeCell ref="S50:T50"/>
    <mergeCell ref="U50:W50"/>
    <mergeCell ref="S40:T40"/>
    <mergeCell ref="U40:V40"/>
    <mergeCell ref="R49:W49"/>
    <mergeCell ref="R39:W39"/>
    <mergeCell ref="E5:I5"/>
    <mergeCell ref="S28:U28"/>
    <mergeCell ref="V28:W28"/>
    <mergeCell ref="J27:M27"/>
    <mergeCell ref="R27:X27"/>
    <mergeCell ref="B25:G26"/>
    <mergeCell ref="E6:F6"/>
    <mergeCell ref="G6:I6"/>
    <mergeCell ref="K28:L28"/>
    <mergeCell ref="B28:D28"/>
    <mergeCell ref="E28:F28"/>
  </mergeCells>
  <hyperlinks>
    <hyperlink ref="B17" r:id="rId1" xr:uid="{005BF685-CF9A-4D94-9DC3-151969C07A1E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choose flow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אלמוג גרינברג</dc:creator>
  <cp:lastModifiedBy>אלמוג גרינברג</cp:lastModifiedBy>
  <dcterms:created xsi:type="dcterms:W3CDTF">2023-04-19T11:17:40Z</dcterms:created>
  <dcterms:modified xsi:type="dcterms:W3CDTF">2023-04-25T15:28:36Z</dcterms:modified>
</cp:coreProperties>
</file>