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omments6.xml" ContentType="application/vnd.openxmlformats-officedocument.spreadsheetml.comments+xml"/>
  <Override PartName="/xl/threadedComments/threadedComment2.xml" ContentType="application/vnd.ms-excel.threadedcomments+xml"/>
  <Override PartName="/xl/drawings/drawing10.xml" ContentType="application/vnd.openxmlformats-officedocument.drawing+xml"/>
  <Override PartName="/xl/comments7.xml" ContentType="application/vnd.openxmlformats-officedocument.spreadsheetml.comments+xml"/>
  <Override PartName="/xl/threadedComments/threadedComment3.xml" ContentType="application/vnd.ms-excel.threadedcomment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873B2839-AC87-7CC4-5C0F-16DCB9831742}"/>
  <workbookPr codeName="ThisWorkbook" defaultThemeVersion="124226"/>
  <mc:AlternateContent xmlns:mc="http://schemas.openxmlformats.org/markup-compatibility/2006">
    <mc:Choice Requires="x15">
      <x15ac:absPath xmlns:x15ac="http://schemas.microsoft.com/office/spreadsheetml/2010/11/ac" url="C:\Users\german.sarmiento\Downloads\"/>
    </mc:Choice>
  </mc:AlternateContent>
  <xr:revisionPtr revIDLastSave="0" documentId="13_ncr:1_{ADFA017C-8D8C-4D35-8629-E500CEB2AFBD}" xr6:coauthVersionLast="47" xr6:coauthVersionMax="47" xr10:uidLastSave="{00000000-0000-0000-0000-000000000000}"/>
  <bookViews>
    <workbookView xWindow="-28920" yWindow="-120" windowWidth="29040" windowHeight="15840" tabRatio="855" xr2:uid="{00000000-000D-0000-FFFF-FFFF00000000}"/>
  </bookViews>
  <sheets>
    <sheet name="Idea de negocio" sheetId="24" r:id="rId1"/>
    <sheet name="Direccionamiento estrategico " sheetId="22" r:id="rId2"/>
    <sheet name="Estructura organizacional " sheetId="23" r:id="rId3"/>
    <sheet name="Inversión Inicial" sheetId="2" r:id="rId4"/>
    <sheet name="Financiación" sheetId="4" r:id="rId5"/>
    <sheet name="Costos Variables" sheetId="7" r:id="rId6"/>
    <sheet name="Gastos Fijos" sheetId="5" r:id="rId7"/>
    <sheet name="Punto de Equilibrio" sheetId="18" r:id="rId8"/>
    <sheet name="Ventas" sheetId="6" r:id="rId9"/>
    <sheet name="Estado de Resultados" sheetId="8" r:id="rId10"/>
    <sheet name="Estado de Situación Financiera" sheetId="11" r:id="rId11"/>
    <sheet name="Flujo de Caja" sheetId="19" r:id="rId12"/>
    <sheet name="Indicadores  " sheetId="20" r:id="rId13"/>
    <sheet name="DashBoard " sheetId="21"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11" l="1"/>
  <c r="I21" i="11"/>
  <c r="J21" i="11"/>
  <c r="G21" i="11"/>
  <c r="D14" i="18"/>
  <c r="E14" i="18"/>
  <c r="F14" i="18"/>
  <c r="D15" i="18"/>
  <c r="E15" i="18"/>
  <c r="F15" i="18"/>
  <c r="D16" i="18"/>
  <c r="E16" i="18"/>
  <c r="F16" i="18"/>
  <c r="D17" i="18"/>
  <c r="E17" i="18"/>
  <c r="F17" i="18"/>
  <c r="D18" i="18"/>
  <c r="E18" i="18"/>
  <c r="F18" i="18"/>
  <c r="D19" i="18"/>
  <c r="E19" i="18"/>
  <c r="F19" i="18"/>
  <c r="D20" i="18"/>
  <c r="E20" i="18"/>
  <c r="F20" i="18"/>
  <c r="D21" i="18"/>
  <c r="E21" i="18"/>
  <c r="F21" i="18"/>
  <c r="D22" i="18"/>
  <c r="E22" i="18"/>
  <c r="F22" i="18"/>
  <c r="D23" i="18"/>
  <c r="E23" i="18"/>
  <c r="F23" i="18"/>
  <c r="D24" i="18"/>
  <c r="E24" i="18"/>
  <c r="F24" i="18"/>
  <c r="D25" i="18"/>
  <c r="E25" i="18"/>
  <c r="F25" i="18"/>
  <c r="C15" i="18"/>
  <c r="C16" i="18"/>
  <c r="C17" i="18"/>
  <c r="C18" i="18"/>
  <c r="C19" i="18"/>
  <c r="C20" i="18"/>
  <c r="C21" i="18"/>
  <c r="C22" i="18"/>
  <c r="C23" i="18"/>
  <c r="C24" i="18"/>
  <c r="C25" i="18"/>
  <c r="C14" i="18"/>
  <c r="C8" i="18"/>
  <c r="C9" i="18"/>
  <c r="C10" i="18"/>
  <c r="C7" i="18"/>
  <c r="D16" i="19"/>
  <c r="H23" i="19"/>
  <c r="I23" i="19"/>
  <c r="G23" i="19"/>
  <c r="H22" i="19"/>
  <c r="I22" i="19"/>
  <c r="G22" i="19"/>
  <c r="C42" i="18"/>
  <c r="D38" i="18"/>
  <c r="E38" i="18" s="1"/>
  <c r="C38" i="18"/>
  <c r="G10" i="7"/>
  <c r="G9" i="7"/>
  <c r="G8" i="7"/>
  <c r="G7" i="7"/>
  <c r="C37" i="18"/>
  <c r="C39" i="18" s="1"/>
  <c r="N4" i="19"/>
  <c r="I21" i="2"/>
  <c r="A22" i="8"/>
  <c r="J14" i="6"/>
  <c r="M28" i="5"/>
  <c r="M29" i="5" s="1"/>
  <c r="M27" i="5"/>
  <c r="O27" i="5"/>
  <c r="P27" i="5"/>
  <c r="Q27" i="5"/>
  <c r="R27" i="5" s="1"/>
  <c r="O28" i="5"/>
  <c r="P28" i="5"/>
  <c r="Q28" i="5"/>
  <c r="R28" i="5" s="1"/>
  <c r="O29" i="5"/>
  <c r="P29" i="5"/>
  <c r="S29" i="5" s="1"/>
  <c r="O30" i="5"/>
  <c r="P30" i="5"/>
  <c r="O31" i="5"/>
  <c r="P31" i="5"/>
  <c r="B8" i="6"/>
  <c r="B9" i="6"/>
  <c r="B10" i="6"/>
  <c r="B7" i="6"/>
  <c r="B8" i="18"/>
  <c r="B9" i="18"/>
  <c r="B10" i="18"/>
  <c r="B7" i="18"/>
  <c r="D37" i="18" l="1"/>
  <c r="S28" i="5"/>
  <c r="S27" i="5"/>
  <c r="S31" i="5"/>
  <c r="M30" i="5"/>
  <c r="M31" i="5" s="1"/>
  <c r="Q29" i="5"/>
  <c r="T28" i="5"/>
  <c r="S30" i="5"/>
  <c r="T27" i="5"/>
  <c r="K19" i="19"/>
  <c r="E15" i="19"/>
  <c r="G15" i="19" s="1"/>
  <c r="H15" i="19" s="1"/>
  <c r="I15" i="19" s="1"/>
  <c r="J15" i="19" s="1"/>
  <c r="K15" i="19" s="1"/>
  <c r="D15" i="19"/>
  <c r="C15" i="19"/>
  <c r="E14" i="19"/>
  <c r="G14" i="19" s="1"/>
  <c r="H14" i="19" s="1"/>
  <c r="I14" i="19" s="1"/>
  <c r="J14" i="19" s="1"/>
  <c r="K14" i="19" s="1"/>
  <c r="D14" i="19"/>
  <c r="C14" i="19"/>
  <c r="E13" i="19"/>
  <c r="G13" i="19" s="1"/>
  <c r="H13" i="19" s="1"/>
  <c r="I13" i="19" s="1"/>
  <c r="J13" i="19" s="1"/>
  <c r="K13" i="19" s="1"/>
  <c r="D13" i="19"/>
  <c r="C13" i="19"/>
  <c r="E12" i="19"/>
  <c r="G12" i="19" s="1"/>
  <c r="H12" i="19" s="1"/>
  <c r="I12" i="19" s="1"/>
  <c r="J12" i="19" s="1"/>
  <c r="K12" i="19" s="1"/>
  <c r="D12" i="19"/>
  <c r="C12" i="19"/>
  <c r="E11" i="19"/>
  <c r="G11" i="19" s="1"/>
  <c r="H11" i="19" s="1"/>
  <c r="I11" i="19" s="1"/>
  <c r="J11" i="19" s="1"/>
  <c r="K11" i="19" s="1"/>
  <c r="D11" i="19"/>
  <c r="C11" i="19"/>
  <c r="G9" i="19"/>
  <c r="H9" i="19" s="1"/>
  <c r="I9" i="19" s="1"/>
  <c r="J9" i="19" s="1"/>
  <c r="K9" i="19" s="1"/>
  <c r="E9" i="19"/>
  <c r="D9" i="19"/>
  <c r="C9" i="19"/>
  <c r="G8" i="19"/>
  <c r="H8" i="19" s="1"/>
  <c r="I8" i="19" s="1"/>
  <c r="E8" i="19"/>
  <c r="D8" i="19"/>
  <c r="C8" i="19"/>
  <c r="G24" i="11"/>
  <c r="D27" i="2"/>
  <c r="E27" i="2"/>
  <c r="F27" i="2"/>
  <c r="C27" i="2"/>
  <c r="D18" i="2"/>
  <c r="H10" i="11" s="1"/>
  <c r="E18" i="2"/>
  <c r="I10" i="11" s="1"/>
  <c r="F18" i="2"/>
  <c r="J10" i="11" s="1"/>
  <c r="D11" i="2"/>
  <c r="H7" i="11" s="1"/>
  <c r="E11" i="2"/>
  <c r="I7" i="11" s="1"/>
  <c r="F11" i="2"/>
  <c r="J7" i="11" s="1"/>
  <c r="D5" i="2"/>
  <c r="H6" i="11" s="1"/>
  <c r="E5" i="2"/>
  <c r="I6" i="11" s="1"/>
  <c r="F5" i="2"/>
  <c r="J6" i="11" s="1"/>
  <c r="C18" i="2"/>
  <c r="G10" i="11" s="1"/>
  <c r="J19" i="2"/>
  <c r="K19" i="2"/>
  <c r="J20" i="2"/>
  <c r="K20" i="2"/>
  <c r="J21" i="2"/>
  <c r="K21" i="2"/>
  <c r="J22" i="2"/>
  <c r="K22" i="2"/>
  <c r="J23" i="2"/>
  <c r="K23" i="2"/>
  <c r="J24" i="2"/>
  <c r="K24" i="2"/>
  <c r="J25" i="2"/>
  <c r="K25" i="2"/>
  <c r="J26" i="2"/>
  <c r="K26" i="2"/>
  <c r="I20" i="2"/>
  <c r="I22" i="2"/>
  <c r="I23" i="2"/>
  <c r="I24" i="2"/>
  <c r="I25" i="2"/>
  <c r="I26" i="2"/>
  <c r="C11" i="2"/>
  <c r="G7" i="11" s="1"/>
  <c r="C5" i="2"/>
  <c r="G6" i="11" s="1"/>
  <c r="C37" i="4"/>
  <c r="F26" i="18"/>
  <c r="F27" i="18" s="1"/>
  <c r="F28" i="18" s="1"/>
  <c r="F29" i="18" s="1"/>
  <c r="F30" i="18" s="1"/>
  <c r="E26" i="18"/>
  <c r="E27" i="18" s="1"/>
  <c r="E28" i="18" s="1"/>
  <c r="E29" i="18" s="1"/>
  <c r="E30" i="18" s="1"/>
  <c r="D26" i="18"/>
  <c r="D27" i="18" s="1"/>
  <c r="D28" i="18" s="1"/>
  <c r="D29" i="18" s="1"/>
  <c r="D30" i="18" s="1"/>
  <c r="C26" i="18"/>
  <c r="C27" i="18" s="1"/>
  <c r="C28" i="18" s="1"/>
  <c r="C29" i="18" s="1"/>
  <c r="C30" i="18" s="1"/>
  <c r="D26" i="6"/>
  <c r="D27" i="6" s="1"/>
  <c r="D28" i="6" s="1"/>
  <c r="D29" i="6" s="1"/>
  <c r="D30" i="6" s="1"/>
  <c r="E26" i="6"/>
  <c r="E27" i="6" s="1"/>
  <c r="E28" i="6" s="1"/>
  <c r="E29" i="6" s="1"/>
  <c r="E30" i="6" s="1"/>
  <c r="F26" i="6"/>
  <c r="F27" i="6" s="1"/>
  <c r="F28" i="6" s="1"/>
  <c r="F29" i="6" s="1"/>
  <c r="F30" i="6" s="1"/>
  <c r="C26" i="6"/>
  <c r="C27" i="6" s="1"/>
  <c r="C28" i="6" s="1"/>
  <c r="C29" i="6" s="1"/>
  <c r="C30" i="6" s="1"/>
  <c r="D39" i="18" l="1"/>
  <c r="E37" i="18"/>
  <c r="F33" i="2"/>
  <c r="F5" i="4" s="1"/>
  <c r="E33" i="2"/>
  <c r="E5" i="4" s="1"/>
  <c r="G17" i="11"/>
  <c r="D33" i="2"/>
  <c r="D5" i="4" s="1"/>
  <c r="Q31" i="5"/>
  <c r="M32" i="5"/>
  <c r="Q30" i="5"/>
  <c r="R29" i="5"/>
  <c r="T29" i="5"/>
  <c r="J8" i="19"/>
  <c r="C33" i="2"/>
  <c r="G26" i="6"/>
  <c r="E39" i="18" l="1"/>
  <c r="C5" i="4"/>
  <c r="F26" i="19"/>
  <c r="R31" i="5"/>
  <c r="T31" i="5"/>
  <c r="R30" i="5"/>
  <c r="T30" i="5"/>
  <c r="K8" i="19"/>
  <c r="G30" i="18"/>
  <c r="G29" i="18"/>
  <c r="G28" i="18"/>
  <c r="G27" i="18"/>
  <c r="G26" i="18"/>
  <c r="M25" i="18"/>
  <c r="L25" i="18"/>
  <c r="K25" i="18"/>
  <c r="J25" i="18"/>
  <c r="G25" i="18"/>
  <c r="M24" i="18"/>
  <c r="L24" i="18"/>
  <c r="K24" i="18"/>
  <c r="J24" i="18"/>
  <c r="G24" i="18"/>
  <c r="M23" i="18"/>
  <c r="L23" i="18"/>
  <c r="K23" i="18"/>
  <c r="J23" i="18"/>
  <c r="G23" i="18"/>
  <c r="M22" i="18"/>
  <c r="L22" i="18"/>
  <c r="K22" i="18"/>
  <c r="J22" i="18"/>
  <c r="G22" i="18"/>
  <c r="M21" i="18"/>
  <c r="L21" i="18"/>
  <c r="K21" i="18"/>
  <c r="J21" i="18"/>
  <c r="G21" i="18"/>
  <c r="M20" i="18"/>
  <c r="L20" i="18"/>
  <c r="K20" i="18"/>
  <c r="J20" i="18"/>
  <c r="G20" i="18"/>
  <c r="M19" i="18"/>
  <c r="L19" i="18"/>
  <c r="K19" i="18"/>
  <c r="J19" i="18"/>
  <c r="G19" i="18"/>
  <c r="M18" i="18"/>
  <c r="L18" i="18"/>
  <c r="K18" i="18"/>
  <c r="J18" i="18"/>
  <c r="G18" i="18"/>
  <c r="M17" i="18"/>
  <c r="L17" i="18"/>
  <c r="K17" i="18"/>
  <c r="J17" i="18"/>
  <c r="G17" i="18"/>
  <c r="M16" i="18"/>
  <c r="L16" i="18"/>
  <c r="K16" i="18"/>
  <c r="J16" i="18"/>
  <c r="G16" i="18"/>
  <c r="M15" i="18"/>
  <c r="L15" i="18"/>
  <c r="K15" i="18"/>
  <c r="J15" i="18"/>
  <c r="G15" i="18"/>
  <c r="M14" i="18"/>
  <c r="L14" i="18"/>
  <c r="K14" i="18"/>
  <c r="J14" i="18"/>
  <c r="G14" i="18"/>
  <c r="F13" i="18"/>
  <c r="M13" i="18" s="1"/>
  <c r="E13" i="18"/>
  <c r="L13" i="18" s="1"/>
  <c r="D13" i="18"/>
  <c r="K13" i="18" s="1"/>
  <c r="C13" i="18"/>
  <c r="J13" i="18" s="1"/>
  <c r="N25" i="18" l="1"/>
  <c r="N24" i="18"/>
  <c r="N21" i="18"/>
  <c r="N17" i="18"/>
  <c r="N14" i="18"/>
  <c r="K26" i="18"/>
  <c r="K27" i="18" s="1"/>
  <c r="K28" i="18" s="1"/>
  <c r="K29" i="18" s="1"/>
  <c r="K30" i="18" s="1"/>
  <c r="N16" i="18"/>
  <c r="N18" i="18"/>
  <c r="M26" i="18"/>
  <c r="M27" i="18" s="1"/>
  <c r="M28" i="18" s="1"/>
  <c r="M29" i="18" s="1"/>
  <c r="M30" i="18" s="1"/>
  <c r="N15" i="18"/>
  <c r="N23" i="18"/>
  <c r="N20" i="18"/>
  <c r="L26" i="18"/>
  <c r="L27" i="18" s="1"/>
  <c r="L28" i="18" s="1"/>
  <c r="L29" i="18" s="1"/>
  <c r="L30" i="18" s="1"/>
  <c r="N19" i="18"/>
  <c r="N22" i="18"/>
  <c r="J26" i="18"/>
  <c r="N26" i="18" l="1"/>
  <c r="J27" i="18"/>
  <c r="J28" i="18" l="1"/>
  <c r="N27" i="18"/>
  <c r="J29" i="18" l="1"/>
  <c r="N28" i="18"/>
  <c r="N29" i="18" l="1"/>
  <c r="J30" i="18"/>
  <c r="N30" i="18" s="1"/>
  <c r="E10" i="4" l="1"/>
  <c r="J19" i="8" l="1"/>
  <c r="F13" i="7"/>
  <c r="E13" i="7"/>
  <c r="F10" i="7"/>
  <c r="J11" i="11"/>
  <c r="J13" i="11" s="1"/>
  <c r="I11" i="11"/>
  <c r="H11" i="11"/>
  <c r="G11" i="11"/>
  <c r="G13" i="11" s="1"/>
  <c r="H13" i="11" l="1"/>
  <c r="G9" i="11"/>
  <c r="H24" i="11" l="1"/>
  <c r="I24" i="11" s="1"/>
  <c r="J24" i="11" s="1"/>
  <c r="G27" i="11"/>
  <c r="M14" i="6"/>
  <c r="M15" i="6"/>
  <c r="M16" i="6"/>
  <c r="M17" i="6"/>
  <c r="M18" i="6"/>
  <c r="M19" i="6"/>
  <c r="M20" i="6"/>
  <c r="M21" i="6"/>
  <c r="M22" i="6"/>
  <c r="M23" i="6"/>
  <c r="M24" i="6"/>
  <c r="M25" i="6"/>
  <c r="F13" i="6"/>
  <c r="M13" i="6" s="1"/>
  <c r="M26" i="6" l="1"/>
  <c r="M27" i="6" s="1"/>
  <c r="M28" i="6" s="1"/>
  <c r="M29" i="6" s="1"/>
  <c r="M30" i="6" s="1"/>
  <c r="H9" i="11"/>
  <c r="E5" i="20" s="1"/>
  <c r="C19" i="5"/>
  <c r="G14" i="11"/>
  <c r="D10" i="5" l="1"/>
  <c r="D18" i="5"/>
  <c r="D14" i="5"/>
  <c r="D17" i="5"/>
  <c r="D11" i="5"/>
  <c r="D16" i="5"/>
  <c r="D12" i="5"/>
  <c r="D13" i="5"/>
  <c r="D15" i="5"/>
  <c r="G29" i="11"/>
  <c r="G33" i="11" s="1"/>
  <c r="I9" i="11"/>
  <c r="F5" i="20" s="1"/>
  <c r="J9" i="11"/>
  <c r="G5" i="20" s="1"/>
  <c r="O26" i="5"/>
  <c r="O32" i="5"/>
  <c r="G31" i="11" l="1"/>
  <c r="E15" i="8"/>
  <c r="D15" i="8"/>
  <c r="C15" i="8"/>
  <c r="E14" i="8"/>
  <c r="D14" i="8"/>
  <c r="C14" i="8"/>
  <c r="E13" i="8"/>
  <c r="D13" i="8"/>
  <c r="C13" i="8"/>
  <c r="E12" i="8"/>
  <c r="D12" i="8"/>
  <c r="C12" i="8"/>
  <c r="E11" i="8"/>
  <c r="F11" i="8" s="1"/>
  <c r="G11" i="8" s="1"/>
  <c r="D11" i="8"/>
  <c r="C11" i="8"/>
  <c r="F9" i="8"/>
  <c r="F8" i="8"/>
  <c r="G8" i="8" s="1"/>
  <c r="E9" i="8"/>
  <c r="D9" i="8"/>
  <c r="C9" i="8"/>
  <c r="E8" i="8"/>
  <c r="D8" i="8"/>
  <c r="C8" i="8"/>
  <c r="F8" i="7"/>
  <c r="F9" i="7"/>
  <c r="F7" i="7"/>
  <c r="C13" i="6"/>
  <c r="J13" i="6" s="1"/>
  <c r="D13" i="6"/>
  <c r="K13" i="6" s="1"/>
  <c r="E13" i="6"/>
  <c r="L13" i="6" s="1"/>
  <c r="G14" i="6"/>
  <c r="K14" i="6"/>
  <c r="L14" i="6"/>
  <c r="G15" i="6"/>
  <c r="J15" i="6"/>
  <c r="K15" i="6"/>
  <c r="L15" i="6"/>
  <c r="G16" i="6"/>
  <c r="J16" i="6"/>
  <c r="K16" i="6"/>
  <c r="L16" i="6"/>
  <c r="G17" i="6"/>
  <c r="J17" i="6"/>
  <c r="K17" i="6"/>
  <c r="L17" i="6"/>
  <c r="G18" i="6"/>
  <c r="J18" i="6"/>
  <c r="K18" i="6"/>
  <c r="L18" i="6"/>
  <c r="G19" i="6"/>
  <c r="J19" i="6"/>
  <c r="K19" i="6"/>
  <c r="L19" i="6"/>
  <c r="G20" i="6"/>
  <c r="J20" i="6"/>
  <c r="K20" i="6"/>
  <c r="L20" i="6"/>
  <c r="G21" i="6"/>
  <c r="J21" i="6"/>
  <c r="K21" i="6"/>
  <c r="L21" i="6"/>
  <c r="G22" i="6"/>
  <c r="J22" i="6"/>
  <c r="K22" i="6"/>
  <c r="L22" i="6"/>
  <c r="G23" i="6"/>
  <c r="J23" i="6"/>
  <c r="K23" i="6"/>
  <c r="L23" i="6"/>
  <c r="G24" i="6"/>
  <c r="J24" i="6"/>
  <c r="K24" i="6"/>
  <c r="L24" i="6"/>
  <c r="G25" i="6"/>
  <c r="J25" i="6"/>
  <c r="K25" i="6"/>
  <c r="L25" i="6"/>
  <c r="G9" i="8" l="1"/>
  <c r="D45" i="18" s="1"/>
  <c r="D43" i="18" s="1"/>
  <c r="C45" i="18"/>
  <c r="C43" i="18" s="1"/>
  <c r="E14" i="7"/>
  <c r="D14" i="7"/>
  <c r="F14" i="8"/>
  <c r="G14" i="8" s="1"/>
  <c r="H14" i="8" s="1"/>
  <c r="F13" i="8"/>
  <c r="G13" i="8" s="1"/>
  <c r="H13" i="8" s="1"/>
  <c r="F12" i="8"/>
  <c r="G12" i="8" s="1"/>
  <c r="H12" i="8" s="1"/>
  <c r="F15" i="8"/>
  <c r="G15" i="8" s="1"/>
  <c r="H15" i="8" s="1"/>
  <c r="H8" i="8"/>
  <c r="H11" i="8"/>
  <c r="D18" i="7"/>
  <c r="G29" i="6"/>
  <c r="G30" i="6"/>
  <c r="N16" i="6"/>
  <c r="E16" i="7"/>
  <c r="C16" i="7"/>
  <c r="F15" i="7"/>
  <c r="C14" i="7"/>
  <c r="E23" i="7"/>
  <c r="E19" i="7"/>
  <c r="E15" i="7"/>
  <c r="D25" i="7"/>
  <c r="D21" i="7"/>
  <c r="D17" i="7"/>
  <c r="C23" i="7"/>
  <c r="C19" i="7"/>
  <c r="C15" i="7"/>
  <c r="F22" i="7"/>
  <c r="F18" i="7"/>
  <c r="E22" i="7"/>
  <c r="E18" i="7"/>
  <c r="D24" i="7"/>
  <c r="D20" i="7"/>
  <c r="D16" i="7"/>
  <c r="C22" i="7"/>
  <c r="C18" i="7"/>
  <c r="F14" i="7"/>
  <c r="F25" i="7"/>
  <c r="F21" i="7"/>
  <c r="F17" i="7"/>
  <c r="E25" i="7"/>
  <c r="E21" i="7"/>
  <c r="E17" i="7"/>
  <c r="D23" i="7"/>
  <c r="D19" i="7"/>
  <c r="D15" i="7"/>
  <c r="C25" i="7"/>
  <c r="C21" i="7"/>
  <c r="C17" i="7"/>
  <c r="F24" i="7"/>
  <c r="F20" i="7"/>
  <c r="F16" i="7"/>
  <c r="E24" i="7"/>
  <c r="E20" i="7"/>
  <c r="D22" i="7"/>
  <c r="C24" i="7"/>
  <c r="C20" i="7"/>
  <c r="F23" i="7"/>
  <c r="F19" i="7"/>
  <c r="N15" i="6"/>
  <c r="N18" i="6"/>
  <c r="N14" i="6"/>
  <c r="N23" i="6"/>
  <c r="L26" i="6"/>
  <c r="L27" i="6" s="1"/>
  <c r="L28" i="6" s="1"/>
  <c r="N19" i="6"/>
  <c r="N25" i="6"/>
  <c r="N21" i="6"/>
  <c r="N17" i="6"/>
  <c r="N24" i="6"/>
  <c r="J26" i="6"/>
  <c r="J27" i="6" s="1"/>
  <c r="C27" i="7" s="1"/>
  <c r="K26" i="6"/>
  <c r="K27" i="6" s="1"/>
  <c r="K28" i="6" s="1"/>
  <c r="N20" i="6"/>
  <c r="N22" i="6"/>
  <c r="G28" i="6"/>
  <c r="E42" i="18" s="1"/>
  <c r="G27" i="6"/>
  <c r="D42" i="18" s="1"/>
  <c r="H9" i="8" l="1"/>
  <c r="C5" i="19"/>
  <c r="E5" i="19"/>
  <c r="D5" i="19"/>
  <c r="I15" i="8"/>
  <c r="I13" i="8"/>
  <c r="I11" i="8"/>
  <c r="I8" i="8"/>
  <c r="I14" i="8"/>
  <c r="I12" i="8"/>
  <c r="E28" i="7"/>
  <c r="L29" i="6"/>
  <c r="E5" i="8"/>
  <c r="F28" i="7"/>
  <c r="D28" i="7"/>
  <c r="K29" i="6"/>
  <c r="F27" i="7"/>
  <c r="E26" i="7"/>
  <c r="F26" i="7"/>
  <c r="E27" i="7"/>
  <c r="C5" i="8"/>
  <c r="D26" i="7"/>
  <c r="C26" i="7"/>
  <c r="D5" i="8"/>
  <c r="D27" i="7"/>
  <c r="N26" i="6"/>
  <c r="N27" i="6"/>
  <c r="J28" i="6"/>
  <c r="J29" i="6" s="1"/>
  <c r="I9" i="8" l="1"/>
  <c r="J9" i="8" s="1"/>
  <c r="E45" i="18"/>
  <c r="E43" i="18" s="1"/>
  <c r="F5" i="8"/>
  <c r="G5" i="19"/>
  <c r="G21" i="19" s="1"/>
  <c r="G5" i="8"/>
  <c r="H5" i="19"/>
  <c r="H21" i="19" s="1"/>
  <c r="J12" i="8"/>
  <c r="J14" i="8"/>
  <c r="J8" i="8"/>
  <c r="J11" i="8"/>
  <c r="J13" i="8"/>
  <c r="J15" i="8"/>
  <c r="E29" i="7"/>
  <c r="L30" i="6"/>
  <c r="E30" i="7" s="1"/>
  <c r="F29" i="7"/>
  <c r="F30" i="7"/>
  <c r="D29" i="7"/>
  <c r="K30" i="6"/>
  <c r="D30" i="7" s="1"/>
  <c r="N29" i="6"/>
  <c r="C29" i="7"/>
  <c r="J30" i="6"/>
  <c r="N28" i="6"/>
  <c r="C28" i="7"/>
  <c r="G22" i="8" l="1"/>
  <c r="G21" i="8"/>
  <c r="F22" i="8"/>
  <c r="F21" i="8"/>
  <c r="H5" i="8"/>
  <c r="I5" i="19"/>
  <c r="I21" i="19" s="1"/>
  <c r="I5" i="8"/>
  <c r="J5" i="19"/>
  <c r="G29" i="7"/>
  <c r="H29" i="7" s="1"/>
  <c r="N30" i="6"/>
  <c r="C30" i="7"/>
  <c r="G30" i="7" s="1"/>
  <c r="C26" i="4"/>
  <c r="H22" i="8" l="1"/>
  <c r="H21" i="8"/>
  <c r="H30" i="7"/>
  <c r="J5" i="8"/>
  <c r="K5" i="19"/>
  <c r="J6" i="19"/>
  <c r="J7" i="19" s="1"/>
  <c r="I6" i="8"/>
  <c r="I7" i="8" s="1"/>
  <c r="D13" i="7"/>
  <c r="C13" i="7"/>
  <c r="G54" i="5"/>
  <c r="Q32" i="5" s="1"/>
  <c r="G53" i="5"/>
  <c r="G51" i="5"/>
  <c r="G50" i="5"/>
  <c r="P32" i="5" s="1"/>
  <c r="S32" i="5" s="1"/>
  <c r="G48" i="5"/>
  <c r="Q26" i="5" s="1"/>
  <c r="G47" i="5"/>
  <c r="P26" i="5" s="1"/>
  <c r="S26" i="5" s="1"/>
  <c r="O25" i="5"/>
  <c r="D26" i="4"/>
  <c r="C22" i="4"/>
  <c r="C19" i="19" s="1"/>
  <c r="F10" i="4"/>
  <c r="D10" i="4"/>
  <c r="C10" i="4"/>
  <c r="L13" i="2"/>
  <c r="M13" i="2" s="1"/>
  <c r="L10" i="2"/>
  <c r="M10" i="2" s="1"/>
  <c r="L7" i="2"/>
  <c r="M7" i="2" s="1"/>
  <c r="O33" i="5" l="1"/>
  <c r="P25" i="5"/>
  <c r="P33" i="5" s="1"/>
  <c r="L8" i="2"/>
  <c r="M8" i="2" s="1"/>
  <c r="L12" i="2"/>
  <c r="M12" i="2" s="1"/>
  <c r="L11" i="2"/>
  <c r="M11" i="2" s="1"/>
  <c r="R26" i="5"/>
  <c r="T26" i="5"/>
  <c r="R32" i="5"/>
  <c r="T32" i="5"/>
  <c r="C19" i="8"/>
  <c r="I27" i="2"/>
  <c r="G10" i="4"/>
  <c r="G26" i="7"/>
  <c r="G15" i="7"/>
  <c r="G16" i="7"/>
  <c r="G17" i="7"/>
  <c r="H17" i="7" s="1"/>
  <c r="G18" i="7"/>
  <c r="H18" i="7" s="1"/>
  <c r="G19" i="7"/>
  <c r="H19" i="7" s="1"/>
  <c r="G20" i="7"/>
  <c r="H20" i="7" s="1"/>
  <c r="G21" i="7"/>
  <c r="H21" i="7" s="1"/>
  <c r="G22" i="7"/>
  <c r="H22" i="7" s="1"/>
  <c r="G23" i="7"/>
  <c r="H23" i="7" s="1"/>
  <c r="G24" i="7"/>
  <c r="H24" i="7" s="1"/>
  <c r="G25" i="7"/>
  <c r="H25" i="7" s="1"/>
  <c r="G27" i="7"/>
  <c r="H27" i="7" s="1"/>
  <c r="G28" i="7"/>
  <c r="G14" i="7"/>
  <c r="Q25" i="5"/>
  <c r="Q33" i="5" s="1"/>
  <c r="E26" i="4"/>
  <c r="C27" i="4"/>
  <c r="C28" i="4"/>
  <c r="C29" i="4"/>
  <c r="C30" i="4"/>
  <c r="C31" i="4"/>
  <c r="C32" i="4"/>
  <c r="C33" i="4"/>
  <c r="C34" i="4"/>
  <c r="C35" i="4"/>
  <c r="C36" i="4"/>
  <c r="E6" i="19" l="1"/>
  <c r="E7" i="19" s="1"/>
  <c r="H16" i="7"/>
  <c r="D6" i="19"/>
  <c r="D7" i="19" s="1"/>
  <c r="H15" i="7"/>
  <c r="I6" i="19"/>
  <c r="I7" i="19" s="1"/>
  <c r="H28" i="7"/>
  <c r="G6" i="19"/>
  <c r="G7" i="19" s="1"/>
  <c r="H26" i="7"/>
  <c r="C6" i="19"/>
  <c r="C7" i="19" s="1"/>
  <c r="H14" i="7"/>
  <c r="K6" i="19"/>
  <c r="K7" i="19" s="1"/>
  <c r="H6" i="19"/>
  <c r="H7" i="19" s="1"/>
  <c r="C16" i="19"/>
  <c r="L9" i="2"/>
  <c r="M9" i="2" s="1"/>
  <c r="H6" i="8"/>
  <c r="H7" i="8" s="1"/>
  <c r="J6" i="8"/>
  <c r="J7" i="8" s="1"/>
  <c r="G6" i="8"/>
  <c r="G7" i="8" s="1"/>
  <c r="D16" i="8"/>
  <c r="F16" i="8"/>
  <c r="C16" i="8"/>
  <c r="F6" i="8"/>
  <c r="C6" i="8"/>
  <c r="E6" i="8"/>
  <c r="D6" i="8"/>
  <c r="R25" i="5"/>
  <c r="R33" i="5" s="1"/>
  <c r="S25" i="5"/>
  <c r="S33" i="5" s="1"/>
  <c r="T25" i="5"/>
  <c r="T33" i="5" s="1"/>
  <c r="F26" i="4"/>
  <c r="G26" i="4" s="1"/>
  <c r="D27" i="4" s="1"/>
  <c r="J27" i="2"/>
  <c r="E16" i="19" s="1"/>
  <c r="D19" i="19" l="1"/>
  <c r="D10" i="19"/>
  <c r="D17" i="19" s="1"/>
  <c r="D18" i="19" s="1"/>
  <c r="E10" i="19"/>
  <c r="E17" i="19" s="1"/>
  <c r="E18" i="19" s="1"/>
  <c r="C10" i="19"/>
  <c r="C17" i="19" s="1"/>
  <c r="C18" i="19" s="1"/>
  <c r="C20" i="19" s="1"/>
  <c r="C21" i="19" s="1"/>
  <c r="C23" i="19" s="1"/>
  <c r="G10" i="19"/>
  <c r="H14" i="11"/>
  <c r="K27" i="2"/>
  <c r="L6" i="2"/>
  <c r="F7" i="8"/>
  <c r="G16" i="8"/>
  <c r="G17" i="8" s="1"/>
  <c r="E16" i="8"/>
  <c r="E27" i="4"/>
  <c r="D19" i="8"/>
  <c r="E7" i="8"/>
  <c r="F10" i="8"/>
  <c r="G10" i="8" s="1"/>
  <c r="H10" i="8" s="1"/>
  <c r="D10" i="8"/>
  <c r="D17" i="8" s="1"/>
  <c r="E10" i="8"/>
  <c r="C10" i="8"/>
  <c r="C17" i="8" s="1"/>
  <c r="D7" i="8"/>
  <c r="C7" i="8"/>
  <c r="D20" i="19" l="1"/>
  <c r="D21" i="19" s="1"/>
  <c r="D23" i="19" s="1"/>
  <c r="H10" i="19"/>
  <c r="G17" i="19"/>
  <c r="G18" i="19" s="1"/>
  <c r="G20" i="19" s="1"/>
  <c r="G26" i="19" s="1"/>
  <c r="F27" i="4"/>
  <c r="G27" i="4" s="1"/>
  <c r="D28" i="4" s="1"/>
  <c r="C18" i="8"/>
  <c r="C20" i="8" s="1"/>
  <c r="H16" i="8"/>
  <c r="L14" i="2"/>
  <c r="J16" i="19" s="1"/>
  <c r="M6" i="2"/>
  <c r="M14" i="2" s="1"/>
  <c r="K16" i="19" s="1"/>
  <c r="E17" i="8"/>
  <c r="E18" i="8" s="1"/>
  <c r="D18" i="8"/>
  <c r="F17" i="8"/>
  <c r="F18" i="8" s="1"/>
  <c r="G27" i="19" l="1"/>
  <c r="E28" i="4"/>
  <c r="F28" i="4" s="1"/>
  <c r="G28" i="4" s="1"/>
  <c r="D29" i="4" s="1"/>
  <c r="E29" i="4" s="1"/>
  <c r="F29" i="4" s="1"/>
  <c r="G29" i="4" s="1"/>
  <c r="D30" i="4" s="1"/>
  <c r="E30" i="4" s="1"/>
  <c r="F30" i="4" s="1"/>
  <c r="G30" i="4" s="1"/>
  <c r="D31" i="4" s="1"/>
  <c r="E31" i="4" s="1"/>
  <c r="F31" i="4" s="1"/>
  <c r="G31" i="4" s="1"/>
  <c r="D32" i="4" s="1"/>
  <c r="E32" i="4" s="1"/>
  <c r="F32" i="4" s="1"/>
  <c r="G32" i="4" s="1"/>
  <c r="D33" i="4" s="1"/>
  <c r="E33" i="4" s="1"/>
  <c r="F33" i="4" s="1"/>
  <c r="G33" i="4" s="1"/>
  <c r="D34" i="4" s="1"/>
  <c r="E34" i="4" s="1"/>
  <c r="F34" i="4" s="1"/>
  <c r="G34" i="4" s="1"/>
  <c r="D35" i="4" s="1"/>
  <c r="E35" i="4" s="1"/>
  <c r="F35" i="4" s="1"/>
  <c r="G35" i="4" s="1"/>
  <c r="D36" i="4" s="1"/>
  <c r="E36" i="4" s="1"/>
  <c r="F36" i="4" s="1"/>
  <c r="G36" i="4" s="1"/>
  <c r="D37" i="4" s="1"/>
  <c r="E37" i="4" s="1"/>
  <c r="F37" i="4" s="1"/>
  <c r="G37" i="4" s="1"/>
  <c r="B38" i="4" s="1"/>
  <c r="E19" i="19"/>
  <c r="E20" i="19" s="1"/>
  <c r="E21" i="19" s="1"/>
  <c r="E23" i="19" s="1"/>
  <c r="I10" i="19"/>
  <c r="H17" i="19"/>
  <c r="H18" i="19" s="1"/>
  <c r="J16" i="8"/>
  <c r="E19" i="8"/>
  <c r="E20" i="8" s="1"/>
  <c r="I16" i="8"/>
  <c r="J14" i="11"/>
  <c r="C21" i="8"/>
  <c r="D20" i="8"/>
  <c r="C19" i="4" l="1"/>
  <c r="H19" i="8" s="1"/>
  <c r="C20" i="4"/>
  <c r="C21" i="4" s="1"/>
  <c r="H17" i="11"/>
  <c r="J10" i="19"/>
  <c r="I17" i="19"/>
  <c r="I18" i="19" s="1"/>
  <c r="C38" i="4"/>
  <c r="B39" i="4"/>
  <c r="B40" i="4" s="1"/>
  <c r="B41" i="4" s="1"/>
  <c r="B42" i="4" s="1"/>
  <c r="B43" i="4" s="1"/>
  <c r="B44" i="4" s="1"/>
  <c r="B45" i="4" s="1"/>
  <c r="B46" i="4" s="1"/>
  <c r="B47" i="4" s="1"/>
  <c r="B48" i="4" s="1"/>
  <c r="B49" i="4" s="1"/>
  <c r="C49" i="4" s="1"/>
  <c r="D38" i="4"/>
  <c r="F20" i="8"/>
  <c r="G19" i="8"/>
  <c r="G18" i="8"/>
  <c r="I10" i="8"/>
  <c r="H17" i="8"/>
  <c r="E21" i="8"/>
  <c r="D21" i="8"/>
  <c r="C23" i="8"/>
  <c r="H19" i="19" l="1"/>
  <c r="H20" i="19"/>
  <c r="H26" i="19" s="1"/>
  <c r="I19" i="19"/>
  <c r="I20" i="19" s="1"/>
  <c r="I26" i="19" s="1"/>
  <c r="K10" i="19"/>
  <c r="K17" i="19" s="1"/>
  <c r="K18" i="19" s="1"/>
  <c r="K20" i="19" s="1"/>
  <c r="K21" i="19" s="1"/>
  <c r="K23" i="19" s="1"/>
  <c r="J17" i="19"/>
  <c r="J18" i="19" s="1"/>
  <c r="F23" i="8"/>
  <c r="I17" i="8"/>
  <c r="I18" i="8" s="1"/>
  <c r="J10" i="8"/>
  <c r="H18" i="8"/>
  <c r="D23" i="8"/>
  <c r="E23" i="8"/>
  <c r="F33" i="19" l="1"/>
  <c r="H33" i="19" s="1"/>
  <c r="F32" i="19" a="1"/>
  <c r="F32" i="19" s="1"/>
  <c r="H32" i="19" s="1"/>
  <c r="H27" i="19"/>
  <c r="I27" i="19" s="1"/>
  <c r="H26" i="11"/>
  <c r="H27" i="11" s="1"/>
  <c r="E21" i="20" s="1"/>
  <c r="E18" i="20"/>
  <c r="E24" i="20"/>
  <c r="D24" i="20"/>
  <c r="J17" i="8"/>
  <c r="J18" i="8" l="1"/>
  <c r="G20" i="8" l="1"/>
  <c r="J20" i="8"/>
  <c r="J21" i="8" l="1"/>
  <c r="J23" i="8" s="1"/>
  <c r="G23" i="8" l="1"/>
  <c r="I26" i="11" l="1"/>
  <c r="I27" i="11" s="1"/>
  <c r="F21" i="20" s="1"/>
  <c r="F24" i="20"/>
  <c r="E38" i="4"/>
  <c r="F38" i="4" l="1"/>
  <c r="G38" i="4" s="1"/>
  <c r="C39" i="4"/>
  <c r="D39" i="4" l="1"/>
  <c r="E39" i="4" l="1"/>
  <c r="C40" i="4"/>
  <c r="F39" i="4" l="1"/>
  <c r="G39" i="4" s="1"/>
  <c r="D40" i="4" s="1"/>
  <c r="E40" i="4" l="1"/>
  <c r="C41" i="4"/>
  <c r="F40" i="4" l="1"/>
  <c r="G40" i="4" s="1"/>
  <c r="D41" i="4" s="1"/>
  <c r="E41" i="4" l="1"/>
  <c r="C42" i="4"/>
  <c r="F41" i="4" l="1"/>
  <c r="G41" i="4" s="1"/>
  <c r="D42" i="4" s="1"/>
  <c r="E42" i="4" s="1"/>
  <c r="F42" i="4" s="1"/>
  <c r="G42" i="4" s="1"/>
  <c r="C43" i="4" l="1"/>
  <c r="D43" i="4" l="1"/>
  <c r="E43" i="4" s="1"/>
  <c r="F43" i="4" s="1"/>
  <c r="G43" i="4" s="1"/>
  <c r="C44" i="4" l="1"/>
  <c r="D44" i="4" l="1"/>
  <c r="E44" i="4" l="1"/>
  <c r="F44" i="4" l="1"/>
  <c r="G44" i="4" s="1"/>
  <c r="D45" i="4" l="1"/>
  <c r="C45" i="4" l="1"/>
  <c r="E45" i="4" s="1"/>
  <c r="F45" i="4" s="1"/>
  <c r="G45" i="4" s="1"/>
  <c r="C46" i="4" l="1"/>
  <c r="D46" i="4"/>
  <c r="E46" i="4" l="1"/>
  <c r="F46" i="4" l="1"/>
  <c r="G46" i="4" s="1"/>
  <c r="C47" i="4" l="1"/>
  <c r="D47" i="4"/>
  <c r="E47" i="4" l="1"/>
  <c r="F47" i="4" l="1"/>
  <c r="G47" i="4" s="1"/>
  <c r="C48" i="4" l="1"/>
  <c r="D48" i="4"/>
  <c r="E48" i="4" l="1"/>
  <c r="F48" i="4" l="1"/>
  <c r="G48" i="4" s="1"/>
  <c r="D49" i="4" s="1"/>
  <c r="D19" i="4" s="1"/>
  <c r="E49" i="4" l="1"/>
  <c r="D20" i="4" s="1"/>
  <c r="D21" i="4" s="1"/>
  <c r="H20" i="8"/>
  <c r="H23" i="8" s="1"/>
  <c r="J26" i="11" l="1"/>
  <c r="J27" i="11" s="1"/>
  <c r="G21" i="20" s="1"/>
  <c r="G18" i="20"/>
  <c r="G24" i="20"/>
  <c r="F49" i="4"/>
  <c r="G49" i="4" s="1"/>
  <c r="H19" i="11" s="1"/>
  <c r="H29" i="11" l="1"/>
  <c r="H33" i="11" s="1"/>
  <c r="E14" i="20"/>
  <c r="E8" i="20"/>
  <c r="B50" i="4"/>
  <c r="D50" i="4" s="1"/>
  <c r="I17" i="11"/>
  <c r="H31" i="11" l="1"/>
  <c r="C50" i="4"/>
  <c r="E50" i="4" s="1"/>
  <c r="B51" i="4"/>
  <c r="B52" i="4" s="1"/>
  <c r="B53" i="4" s="1"/>
  <c r="B54" i="4" s="1"/>
  <c r="B55" i="4" s="1"/>
  <c r="B56" i="4" s="1"/>
  <c r="B57" i="4" s="1"/>
  <c r="B58" i="4" s="1"/>
  <c r="B59" i="4" s="1"/>
  <c r="B60" i="4" s="1"/>
  <c r="B61" i="4" s="1"/>
  <c r="C61" i="4" s="1"/>
  <c r="C51" i="4" l="1"/>
  <c r="F50" i="4"/>
  <c r="G50" i="4" s="1"/>
  <c r="D51" i="4" s="1"/>
  <c r="E51" i="4" l="1"/>
  <c r="F51" i="4" l="1"/>
  <c r="G51" i="4" s="1"/>
  <c r="C52" i="4" l="1"/>
  <c r="D52" i="4" l="1"/>
  <c r="E52" i="4" l="1"/>
  <c r="C53" i="4"/>
  <c r="F52" i="4" l="1"/>
  <c r="G52" i="4" s="1"/>
  <c r="D53" i="4" s="1"/>
  <c r="E53" i="4" s="1"/>
  <c r="F53" i="4" s="1"/>
  <c r="G53" i="4" s="1"/>
  <c r="C54" i="4" l="1"/>
  <c r="D54" i="4" l="1"/>
  <c r="E54" i="4" s="1"/>
  <c r="F54" i="4"/>
  <c r="G54" i="4" s="1"/>
  <c r="C55" i="4" l="1"/>
  <c r="D55" i="4" l="1"/>
  <c r="E55" i="4" l="1"/>
  <c r="C56" i="4"/>
  <c r="F55" i="4" l="1"/>
  <c r="G55" i="4" s="1"/>
  <c r="D56" i="4"/>
  <c r="E56" i="4" l="1"/>
  <c r="C57" i="4"/>
  <c r="F56" i="4" l="1"/>
  <c r="G56" i="4" s="1"/>
  <c r="D57" i="4"/>
  <c r="E57" i="4" l="1"/>
  <c r="C58" i="4"/>
  <c r="F57" i="4" l="1"/>
  <c r="G57" i="4" s="1"/>
  <c r="D58" i="4"/>
  <c r="E58" i="4" l="1"/>
  <c r="C59" i="4"/>
  <c r="F58" i="4" l="1"/>
  <c r="G58" i="4" s="1"/>
  <c r="D59" i="4"/>
  <c r="E59" i="4" l="1"/>
  <c r="C60" i="4"/>
  <c r="F59" i="4" l="1"/>
  <c r="G59" i="4" s="1"/>
  <c r="D60" i="4" s="1"/>
  <c r="E60" i="4" s="1"/>
  <c r="F60" i="4" s="1"/>
  <c r="G60" i="4" s="1"/>
  <c r="D61" i="4" s="1"/>
  <c r="E19" i="4" l="1"/>
  <c r="J19" i="19" s="1"/>
  <c r="J20" i="19" s="1"/>
  <c r="J21" i="19" s="1"/>
  <c r="J23" i="19" s="1"/>
  <c r="E61" i="4"/>
  <c r="E20" i="4" s="1"/>
  <c r="E21" i="4" l="1"/>
  <c r="I19" i="8"/>
  <c r="I20" i="8" s="1"/>
  <c r="I21" i="8" s="1"/>
  <c r="I23" i="8" s="1"/>
  <c r="F61" i="4"/>
  <c r="G61" i="4" s="1"/>
  <c r="J17" i="11" l="1"/>
  <c r="I19" i="11"/>
  <c r="I29" i="11" l="1"/>
  <c r="J29" i="11"/>
  <c r="J33" i="11" s="1"/>
  <c r="G8" i="20"/>
  <c r="G14" i="20"/>
  <c r="I13" i="11"/>
  <c r="I14" i="11" s="1"/>
  <c r="F18" i="20" s="1"/>
  <c r="F14" i="20" l="1"/>
  <c r="F8" i="20"/>
  <c r="J31" i="11"/>
  <c r="I31" i="11"/>
  <c r="I3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 usuario de Microsoft Office satisfecho</author>
  </authors>
  <commentList>
    <comment ref="B6" authorId="0" shapeId="0" xr:uid="{2A76D6F0-0ECD-47AB-95FB-D33B3A7ACACA}">
      <text>
        <r>
          <rPr>
            <sz val="10"/>
            <color indexed="81"/>
            <rFont val="Calibri"/>
            <family val="2"/>
          </rPr>
          <t>Gastos relacionados con la constitución legal del negocio: tasas notariales, impuestos, registro mercantil, licencias, permisos y asesoramiento especializado.</t>
        </r>
      </text>
    </comment>
    <comment ref="B7" authorId="0" shapeId="0" xr:uid="{BF01C0E5-6C40-4F47-8B74-F98964682500}">
      <text>
        <r>
          <rPr>
            <sz val="10"/>
            <color indexed="81"/>
            <rFont val="Calibri"/>
            <family val="2"/>
          </rPr>
          <t>Otros gastos necesarios previos al inicio de la actividad: publicidad de lanzamiento, estudios de mercado, plan de negocio, desplazamientos, formación,  comisión apertura préstamos, altas de contratos de suministros,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Javier Santos</author>
    <author>tc={BE613AE9-A77A-4FC7-B42E-898489D1FE78}</author>
  </authors>
  <commentList>
    <comment ref="B8" authorId="0" shapeId="0" xr:uid="{00000000-0006-0000-0400-000001000000}">
      <text>
        <r>
          <rPr>
            <b/>
            <sz val="10"/>
            <color indexed="81"/>
            <rFont val="Calibri"/>
            <family val="2"/>
          </rPr>
          <t xml:space="preserve">Préstamos a largo plazo con entidades de crédito </t>
        </r>
        <r>
          <rPr>
            <sz val="10"/>
            <color indexed="81"/>
            <rFont val="Calibri"/>
            <family val="2"/>
          </rPr>
          <t xml:space="preserve">
</t>
        </r>
      </text>
    </comment>
    <comment ref="D15" authorId="1" shapeId="0" xr:uid="{BE613AE9-A77A-4FC7-B42E-898489D1FE78}">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Recuerda revisar las tasas Ofrecidas por Entidades Vigiladas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DINAMICA</author>
  </authors>
  <commentList>
    <comment ref="S25" authorId="0" shapeId="0" xr:uid="{00000000-0006-0000-0500-000001000000}">
      <text>
        <r>
          <rPr>
            <b/>
            <sz val="8"/>
            <color indexed="81"/>
            <rFont val="Tahoma"/>
            <family val="2"/>
          </rPr>
          <t xml:space="preserve">Incluye parte proporcional de pagas extra
</t>
        </r>
        <r>
          <rPr>
            <sz val="8"/>
            <color indexed="81"/>
            <rFont val="Tahoma"/>
            <family val="2"/>
          </rPr>
          <t xml:space="preserve">
</t>
        </r>
      </text>
    </comment>
    <comment ref="S32" authorId="0" shapeId="0" xr:uid="{00000000-0006-0000-0500-000002000000}">
      <text>
        <r>
          <rPr>
            <b/>
            <sz val="8"/>
            <color indexed="81"/>
            <rFont val="Tahoma"/>
            <family val="2"/>
          </rPr>
          <t xml:space="preserve">Incluye parte proporcional de pagas extra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B6" authorId="0" shapeId="0" xr:uid="{4164C7C2-940D-4555-8FB8-F2D8D7817E72}">
      <text>
        <r>
          <rPr>
            <sz val="10"/>
            <color indexed="81"/>
            <rFont val="Calibri"/>
            <family val="2"/>
          </rPr>
          <t xml:space="preserve">Introduce el nombre de tus productos más relevantes. En comercios o negocios con muchas referencias indica cuáles son las líneas de producto o servicio tipo
</t>
        </r>
      </text>
    </comment>
    <comment ref="B12" authorId="0" shapeId="0" xr:uid="{0FBEDBDC-F771-4760-A1FE-CDD3F26672A3}">
      <text>
        <r>
          <rPr>
            <sz val="8"/>
            <color indexed="81"/>
            <rFont val="Tahoma"/>
            <family val="2"/>
          </rPr>
          <t>Cantidades ingresadas por la venta del producto o la prestación del servicio.</t>
        </r>
        <r>
          <rPr>
            <sz val="8"/>
            <color indexed="81"/>
            <rFont val="Tahoma"/>
            <family val="2"/>
          </rPr>
          <t xml:space="preserve">
</t>
        </r>
      </text>
    </comment>
    <comment ref="I12" authorId="0" shapeId="0" xr:uid="{E1EEE534-7448-42CC-83E2-7AA1AA828D3B}">
      <text>
        <r>
          <rPr>
            <sz val="8"/>
            <color indexed="81"/>
            <rFont val="Tahoma"/>
            <family val="2"/>
          </rPr>
          <t>Cantidades ingresadas por la venta del producto o la prestación del servicio.</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B6" authorId="0" shapeId="0" xr:uid="{00000000-0006-0000-0600-000001000000}">
      <text>
        <r>
          <rPr>
            <sz val="10"/>
            <color indexed="81"/>
            <rFont val="Calibri"/>
            <family val="2"/>
          </rPr>
          <t xml:space="preserve">Introduce el nombre de tus productos más relevantes. En comercios o negocios con muchas referencias indica cuáles son las líneas de producto o servicio tipo
</t>
        </r>
      </text>
    </comment>
    <comment ref="B12" authorId="0" shapeId="0" xr:uid="{00000000-0006-0000-0600-000003000000}">
      <text>
        <r>
          <rPr>
            <sz val="8"/>
            <color indexed="81"/>
            <rFont val="Tahoma"/>
            <family val="2"/>
          </rPr>
          <t>Cantidades ingresadas por la venta del producto o la prestación del servicio.</t>
        </r>
        <r>
          <rPr>
            <sz val="8"/>
            <color indexed="81"/>
            <rFont val="Tahoma"/>
            <family val="2"/>
          </rPr>
          <t xml:space="preserve">
</t>
        </r>
      </text>
    </comment>
    <comment ref="I12" authorId="0" shapeId="0" xr:uid="{00000000-0006-0000-0600-000004000000}">
      <text>
        <r>
          <rPr>
            <sz val="8"/>
            <color indexed="81"/>
            <rFont val="Tahoma"/>
            <family val="2"/>
          </rPr>
          <t>Cantidades ingresadas por la venta del producto o la prestación del servicio.</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tc={2041FC03-56CF-43D0-9398-1B1949B78A99}</author>
  </authors>
  <commentList>
    <comment ref="B30" authorId="0" shapeId="0" xr:uid="{2041FC03-56CF-43D0-9398-1B1949B78A9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Este valor corresponde al interes de colocar la Inversion inicial en un banco por ejemplo en un cdt en ves de realizar la Inversion en el negocio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tc={EE7BB3CF-095F-4F8A-A43D-24F85F3D948B}</author>
    <author>tc={21AC7BF9-4F12-489C-B5EC-4A01052AEA96}</author>
    <author>tc={C9E0C45B-BDC8-4FDC-9785-33AFD74C2169}</author>
    <author>tc={5BBBCC93-1A4D-407E-B813-707AA02148DD}</author>
    <author>tc={F6376B57-9F90-4FB9-9CC6-5317722C9A45}</author>
  </authors>
  <commentList>
    <comment ref="C77" authorId="0" shapeId="0" xr:uid="{EE7BB3CF-095F-4F8A-A43D-24F85F3D948B}">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Coloca los aspectos mas representativos de la Inversión y las estrategias para que se pueda hacer de una manera eficiente ( ejemplo escalonada en años ) 
</t>
      </text>
    </comment>
    <comment ref="C80" authorId="1" shapeId="0" xr:uid="{21AC7BF9-4F12-489C-B5EC-4A01052AEA9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Habla sobre la viabilidad del análisis de las cosechas </t>
      </text>
    </comment>
    <comment ref="C83" authorId="2" shapeId="0" xr:uid="{C9E0C45B-BDC8-4FDC-9785-33AFD74C2169}">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Comenta sobre la importancia de mantener ventas sostenidas
</t>
      </text>
    </comment>
    <comment ref="C86" authorId="3" shapeId="0" xr:uid="{5BBBCC93-1A4D-407E-B813-707AA02148DD}">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Revisa que no tengas Gastos exagerados ni insostenibles  </t>
      </text>
    </comment>
    <comment ref="C89" authorId="4" shapeId="0" xr:uid="{F6376B57-9F90-4FB9-9CC6-5317722C9A45}">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Revise los indicadores de la hoja de Flujo de caja, y toda la informacion contenida , la cual debe ser coherente con sus comentarios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<sst xmlns="http://schemas.openxmlformats.org/spreadsheetml/2006/main" count="527" uniqueCount="334">
  <si>
    <t>Resultados</t>
  </si>
  <si>
    <t>Previo inicio</t>
  </si>
  <si>
    <t>AÑO 1</t>
  </si>
  <si>
    <t>AÑO 2</t>
  </si>
  <si>
    <t>AÑO 3</t>
  </si>
  <si>
    <t>Amortización</t>
  </si>
  <si>
    <t>Total</t>
  </si>
  <si>
    <t>Constitución</t>
  </si>
  <si>
    <t>INVERSION TOTAL</t>
  </si>
  <si>
    <t>FINANCIACION</t>
  </si>
  <si>
    <t>CANTIDAD A FINANCIAR</t>
  </si>
  <si>
    <t>FINANCIACIÓN</t>
  </si>
  <si>
    <t>TOTAL</t>
  </si>
  <si>
    <t>DATOS DE LA OPERACIÓN</t>
  </si>
  <si>
    <t>CANTIDAD A SOLICITAR:</t>
  </si>
  <si>
    <t>CUADRO DE AMORTIZACION</t>
  </si>
  <si>
    <t>Intereses</t>
  </si>
  <si>
    <t>Importe total de las cuotas</t>
  </si>
  <si>
    <t>Comisiones apertura</t>
  </si>
  <si>
    <t>mensual</t>
  </si>
  <si>
    <t>Gasto</t>
  </si>
  <si>
    <t>Si</t>
  </si>
  <si>
    <t>No</t>
  </si>
  <si>
    <t>Puesto de trabajo</t>
  </si>
  <si>
    <t>Salarios mensuales</t>
  </si>
  <si>
    <t>Tipo de contrato</t>
  </si>
  <si>
    <t>Cotización</t>
  </si>
  <si>
    <t>Nº</t>
  </si>
  <si>
    <t>Salario</t>
  </si>
  <si>
    <t>Parte proporcional</t>
  </si>
  <si>
    <t>Accidentes Tbjo.</t>
  </si>
  <si>
    <t xml:space="preserve">Base de </t>
  </si>
  <si>
    <t>Seg. Social</t>
  </si>
  <si>
    <t xml:space="preserve">Seg. Social </t>
  </si>
  <si>
    <t xml:space="preserve">Líquido a pagar </t>
  </si>
  <si>
    <t>Denominación</t>
  </si>
  <si>
    <t>trabajadores</t>
  </si>
  <si>
    <t>bruto mensual</t>
  </si>
  <si>
    <t>complementos</t>
  </si>
  <si>
    <t>pagas extra</t>
  </si>
  <si>
    <t>Duración</t>
  </si>
  <si>
    <t>Jornada</t>
  </si>
  <si>
    <t>y enfermed.pr.</t>
  </si>
  <si>
    <t>cotización</t>
  </si>
  <si>
    <t>trabajador</t>
  </si>
  <si>
    <t>Empresa</t>
  </si>
  <si>
    <t>tras retención</t>
  </si>
  <si>
    <t>Temporal</t>
  </si>
  <si>
    <t>Completa</t>
  </si>
  <si>
    <t>Totales</t>
  </si>
  <si>
    <t>TIPOS CONTRATACION</t>
  </si>
  <si>
    <t>Indefinido</t>
  </si>
  <si>
    <t>Parcial</t>
  </si>
  <si>
    <t>BASES COTIZACION</t>
  </si>
  <si>
    <t>CONT. COM.</t>
  </si>
  <si>
    <t>DESEMPLEO</t>
  </si>
  <si>
    <t xml:space="preserve">FOGASA </t>
  </si>
  <si>
    <t>FP</t>
  </si>
  <si>
    <t>CONTRATO INDEFINIDO</t>
  </si>
  <si>
    <t>TRABAJADOR</t>
  </si>
  <si>
    <t>EMPRESA</t>
  </si>
  <si>
    <t>EVENTUAL JOR. COMPLETA</t>
  </si>
  <si>
    <t>EVENTUAL JOR. PARCIAL</t>
  </si>
  <si>
    <t>PRECIOS</t>
  </si>
  <si>
    <t>Producto ó servicio</t>
  </si>
  <si>
    <t>Precio unitario</t>
  </si>
  <si>
    <t>PREVISION INCREMENTOS VENTAS</t>
  </si>
  <si>
    <t>% Variación Ventas año 2/ Ventas año 1</t>
  </si>
  <si>
    <t>% Variación Ventas año 3/ Ventas año 2</t>
  </si>
  <si>
    <t>VENTAS DE PRODUCTO O SERVICIO (en unidades)</t>
  </si>
  <si>
    <t>Mes 1</t>
  </si>
  <si>
    <t>Mes 2</t>
  </si>
  <si>
    <t>Mes 3</t>
  </si>
  <si>
    <t>Mes 4</t>
  </si>
  <si>
    <t>Mes 5</t>
  </si>
  <si>
    <t xml:space="preserve">Mes 6 </t>
  </si>
  <si>
    <t>Mes 7</t>
  </si>
  <si>
    <t xml:space="preserve">Mes 8 </t>
  </si>
  <si>
    <t>Mes 9</t>
  </si>
  <si>
    <t>Mes 10</t>
  </si>
  <si>
    <t>Mes 11</t>
  </si>
  <si>
    <t>Mes 12</t>
  </si>
  <si>
    <t>Año 1</t>
  </si>
  <si>
    <t>Año 2</t>
  </si>
  <si>
    <t>Año 3</t>
  </si>
  <si>
    <t>% Ventas</t>
  </si>
  <si>
    <t>Gastos financieros</t>
  </si>
  <si>
    <t>RESULTADO ANTES DE IMPUESTOS</t>
  </si>
  <si>
    <t>RESULTADO DEL EJERCICIO</t>
  </si>
  <si>
    <t>ACTIVO</t>
  </si>
  <si>
    <t>TOTAL ACTIVO</t>
  </si>
  <si>
    <t>PASIVO</t>
  </si>
  <si>
    <t xml:space="preserve">AÑO 1 </t>
  </si>
  <si>
    <t xml:space="preserve">Servicio Luz </t>
  </si>
  <si>
    <t xml:space="preserve">Servicio Acueducto </t>
  </si>
  <si>
    <t>Vigilancia y seguridad</t>
  </si>
  <si>
    <t xml:space="preserve">Mantenimiento de equipos </t>
  </si>
  <si>
    <t xml:space="preserve">Transportes </t>
  </si>
  <si>
    <t xml:space="preserve">Internet </t>
  </si>
  <si>
    <t xml:space="preserve">VENTAS DE PRODUCTO O SERVICIO </t>
  </si>
  <si>
    <t>COSTOS VARIABLES</t>
  </si>
  <si>
    <t>MES 1</t>
  </si>
  <si>
    <t>MES 2</t>
  </si>
  <si>
    <t>MES 3</t>
  </si>
  <si>
    <t xml:space="preserve">Gastos de personal </t>
  </si>
  <si>
    <t xml:space="preserve">Vigilancia y seguridad </t>
  </si>
  <si>
    <t xml:space="preserve">Suministros </t>
  </si>
  <si>
    <t xml:space="preserve">UTILIDAD BRUTA </t>
  </si>
  <si>
    <t>TOTAL OPERACIONES DE ADMIN</t>
  </si>
  <si>
    <t>UTILIDAD/PERDIDA OPERACIONAL</t>
  </si>
  <si>
    <t>IPC</t>
  </si>
  <si>
    <t xml:space="preserve">PATRIMONIO   </t>
  </si>
  <si>
    <t xml:space="preserve">Total Activo corriente </t>
  </si>
  <si>
    <t>Año 4</t>
  </si>
  <si>
    <t>Año 5</t>
  </si>
  <si>
    <t>AÑO 4</t>
  </si>
  <si>
    <t>AÑO 5</t>
  </si>
  <si>
    <t>Publicidad</t>
  </si>
  <si>
    <t>SALDOS INCIALES</t>
  </si>
  <si>
    <t>año 1</t>
  </si>
  <si>
    <t>año 2</t>
  </si>
  <si>
    <t>año 3</t>
  </si>
  <si>
    <t>SALDOS INICIALES</t>
  </si>
  <si>
    <t>Arrendamiento</t>
  </si>
  <si>
    <t xml:space="preserve">Asistencia Técnica </t>
  </si>
  <si>
    <t>Servicio de Gas</t>
  </si>
  <si>
    <t>Administrativos</t>
  </si>
  <si>
    <t xml:space="preserve">Depreciación </t>
  </si>
  <si>
    <t>Puesta en marcha Comisión Préstamo</t>
  </si>
  <si>
    <t>Servicios públicos</t>
  </si>
  <si>
    <t xml:space="preserve">Teléfono e Internet </t>
  </si>
  <si>
    <t>GASTOS FIJOS</t>
  </si>
  <si>
    <t>GASTOS DE PERSONAL</t>
  </si>
  <si>
    <t>Efectivo</t>
  </si>
  <si>
    <t>Inventarios</t>
  </si>
  <si>
    <t>Ventas Netas (Ingresos operacionales)</t>
  </si>
  <si>
    <t>Gasto mensual</t>
  </si>
  <si>
    <t>total</t>
  </si>
  <si>
    <t>Adicionales y</t>
  </si>
  <si>
    <t>COSTOS VARIABLES (EN PORCENTAJE DE LAS VENTAS)</t>
  </si>
  <si>
    <t xml:space="preserve">COSTO VARIABLE DEL PRODUCTO O SERVICIO </t>
  </si>
  <si>
    <t>Costos Variables</t>
  </si>
  <si>
    <t>Impuesto IVA (19%)</t>
  </si>
  <si>
    <t>Otros impuestos</t>
  </si>
  <si>
    <t>INVERSIÓN INICIAL</t>
  </si>
  <si>
    <t>Propiedad, Planta y Equipo</t>
  </si>
  <si>
    <t>&lt;-- Valor cercano a $0</t>
  </si>
  <si>
    <t>VENTAS ESPERADAS</t>
  </si>
  <si>
    <t>PUNTO DE EQUILIBRIO</t>
  </si>
  <si>
    <t>ESTADO DE RESULTADOS (Proyectado)</t>
  </si>
  <si>
    <t>PLAZO (AÑOS)</t>
  </si>
  <si>
    <t>TASA DE INTERES (%)</t>
  </si>
  <si>
    <t>COSTOS DE LA OPERACIÓN (%)</t>
  </si>
  <si>
    <t>Costo 1</t>
  </si>
  <si>
    <t>Costo 2</t>
  </si>
  <si>
    <t>Cuota Mensual</t>
  </si>
  <si>
    <t>Capital amortizado</t>
  </si>
  <si>
    <t>Capital Pendiente</t>
  </si>
  <si>
    <t>PERÍODO</t>
  </si>
  <si>
    <t>Préstamo a largo plazo</t>
  </si>
  <si>
    <t>ACTIVOS APORTADOS</t>
  </si>
  <si>
    <t>Intangibles</t>
  </si>
  <si>
    <t>Producto / Servicio 4</t>
  </si>
  <si>
    <t>VENTAS DE PRODUCTO O SERVICIO (en $)</t>
  </si>
  <si>
    <t>ESTADO DE SITUACION FINANCIERA (Proyectado)</t>
  </si>
  <si>
    <t>TOTAL PASIVO + PATRIMONIO</t>
  </si>
  <si>
    <t>Prestamo</t>
  </si>
  <si>
    <t>Pasivo Corriente</t>
  </si>
  <si>
    <t>Efectivo / Disponible</t>
  </si>
  <si>
    <t>DEPRECIACIÓN</t>
  </si>
  <si>
    <t>Tasa anual (%)</t>
  </si>
  <si>
    <t>Otros activos corrientes</t>
  </si>
  <si>
    <t>Otros activos no corrientes</t>
  </si>
  <si>
    <t xml:space="preserve">Total Activo no corriente </t>
  </si>
  <si>
    <t>TOTAL PASIVO</t>
  </si>
  <si>
    <t>TOTAL PATRIMONIO</t>
  </si>
  <si>
    <t>Pasivo No corriente</t>
  </si>
  <si>
    <t>TOTAL ACTIVOS = (TOTAL PASIVO + TOTAL PATRIMONIO) (Debe ser $0)</t>
  </si>
  <si>
    <t>¿ESTADO DE SITUACIÓN FINANCIERA CORRECTO? (Debe ser "SI")</t>
  </si>
  <si>
    <t>Otro patrimonio</t>
  </si>
  <si>
    <t>Capital social</t>
  </si>
  <si>
    <t>Aportes de Socios (Capital social)</t>
  </si>
  <si>
    <t>FLUJO DE CAJA (Proyectado)</t>
  </si>
  <si>
    <t>Producto / Servicio 2</t>
  </si>
  <si>
    <t>Producto / Servicio 1</t>
  </si>
  <si>
    <t>Producto / Servicio 3</t>
  </si>
  <si>
    <t>Costo 3</t>
  </si>
  <si>
    <t>&lt;-- Valor esperado de utilidad anual</t>
  </si>
  <si>
    <t xml:space="preserve">Total </t>
  </si>
  <si>
    <t xml:space="preserve">Puntos de Equilibrio </t>
  </si>
  <si>
    <t xml:space="preserve">En Unidades  </t>
  </si>
  <si>
    <t xml:space="preserve">Costos Fijos </t>
  </si>
  <si>
    <t xml:space="preserve">Año 1 </t>
  </si>
  <si>
    <t xml:space="preserve">Año 2 </t>
  </si>
  <si>
    <t xml:space="preserve">Año 3 </t>
  </si>
  <si>
    <t xml:space="preserve">RESULTADO DEL EJERCICIO (Despues de Impuestos ) </t>
  </si>
  <si>
    <t>Depreciación (No se cuenta para flujo de caja)</t>
  </si>
  <si>
    <t xml:space="preserve">Flujo de Caja Acumulado </t>
  </si>
  <si>
    <t>Periodo  0</t>
  </si>
  <si>
    <t xml:space="preserve">Inversion </t>
  </si>
  <si>
    <t xml:space="preserve">Tasa Interna  de Oportunidad  </t>
  </si>
  <si>
    <t xml:space="preserve">VPN ( Valor Presente Neto ) </t>
  </si>
  <si>
    <t xml:space="preserve">TIR ( Tasa Interna de Retorno ) </t>
  </si>
  <si>
    <t xml:space="preserve">Flujo de Caja libre </t>
  </si>
  <si>
    <t xml:space="preserve">Indicadores de Liquidez </t>
  </si>
  <si>
    <t xml:space="preserve">Indiucador de Endeudamiento </t>
  </si>
  <si>
    <t xml:space="preserve">Indicadores de Rentabilidad  </t>
  </si>
  <si>
    <t xml:space="preserve">Indicador </t>
  </si>
  <si>
    <t xml:space="preserve">Formula o Calculo </t>
  </si>
  <si>
    <t xml:space="preserve">Interpretacion  </t>
  </si>
  <si>
    <t xml:space="preserve">Indicador de Solidez </t>
  </si>
  <si>
    <t xml:space="preserve">Representa el Margen de Seguridad que tiene la empresa Para cumplir con sus Obligaciones a corto Plazo. Mide o evalua la liquidez necesarias para que continue funcionando fluidamente </t>
  </si>
  <si>
    <t xml:space="preserve">Capacidad de la Empresa a corto y largo Plazo Para demostrar Su Consistencia Financiera </t>
  </si>
  <si>
    <t xml:space="preserve">Graficos </t>
  </si>
  <si>
    <t xml:space="preserve">( Activo Corriente -Pasivo Corriente  ) </t>
  </si>
  <si>
    <t xml:space="preserve">( Activo Total / Pasivo Total ) </t>
  </si>
  <si>
    <t xml:space="preserve">( Pasivo Total / Activo Total ) </t>
  </si>
  <si>
    <t xml:space="preserve">Refleja el Grado de apalancamiento que corresponde a la participacion de los acreedores en los activos la empresa . Mientras mas alto sea este indice mayor es el apalancamiento Financiero de la Empresa </t>
  </si>
  <si>
    <t xml:space="preserve">ROA  ( Utilidad Neta / Activos Totales  ) </t>
  </si>
  <si>
    <t xml:space="preserve">ROE ( Utilidad Neta / Total Patrimonio ) </t>
  </si>
  <si>
    <t xml:space="preserve">ROI ( Utilidad Neta / Inversion Total ) </t>
  </si>
  <si>
    <t xml:space="preserve">DASH BOARD FINANCIERO </t>
  </si>
  <si>
    <t xml:space="preserve">SITUACION FINANCIERA </t>
  </si>
  <si>
    <t xml:space="preserve">ESTADO DE RESULTADOS </t>
  </si>
  <si>
    <t xml:space="preserve">Las Utilidades netas que porcentaje % Representan sobre el Activo Total </t>
  </si>
  <si>
    <t xml:space="preserve">Las Utilidades netas que porcentaje % Representan sobre elPatrimonio Total  Cula es el rendimiento de la Inversion del Accionista o socio </t>
  </si>
  <si>
    <t xml:space="preserve">Las utilidades Netas que Porcentaje % representan sobre la Inversion Total </t>
  </si>
  <si>
    <t xml:space="preserve">Periodo 0 </t>
  </si>
  <si>
    <t>INDICADORES FINANNCIEROS</t>
  </si>
  <si>
    <t xml:space="preserve">LIQUIDEZ </t>
  </si>
  <si>
    <t xml:space="preserve">SOLIDEZ </t>
  </si>
  <si>
    <t xml:space="preserve">ENDEUDAMIENTO </t>
  </si>
  <si>
    <t xml:space="preserve">RENTABILIAD  </t>
  </si>
  <si>
    <t xml:space="preserve">Comerntarios  Finales </t>
  </si>
  <si>
    <t xml:space="preserve">Observaciones Finales Proyecto </t>
  </si>
  <si>
    <t xml:space="preserve">Inversion  </t>
  </si>
  <si>
    <t xml:space="preserve">Cantidades </t>
  </si>
  <si>
    <t xml:space="preserve">Ingresos / Ventas </t>
  </si>
  <si>
    <t xml:space="preserve">Gastos totales </t>
  </si>
  <si>
    <t xml:space="preserve">Decision Inversion  </t>
  </si>
  <si>
    <t xml:space="preserve">Inventario en Proceso </t>
  </si>
  <si>
    <t xml:space="preserve">Caja </t>
  </si>
  <si>
    <t xml:space="preserve">Bancos </t>
  </si>
  <si>
    <t xml:space="preserve">Cuentas por cobrar  </t>
  </si>
  <si>
    <t xml:space="preserve">Equipo de computo propio </t>
  </si>
  <si>
    <t xml:space="preserve">Inventario terminado </t>
  </si>
  <si>
    <t>Marca</t>
  </si>
  <si>
    <t xml:space="preserve">Patentes </t>
  </si>
  <si>
    <t xml:space="preserve">Know How </t>
  </si>
  <si>
    <t xml:space="preserve">Este valor a 36 meses siempre debe ser 0 , pues se termina de pagar el credito </t>
  </si>
  <si>
    <t xml:space="preserve">Gerente  </t>
  </si>
  <si>
    <t xml:space="preserve">Coordinador  </t>
  </si>
  <si>
    <t xml:space="preserve">Operario 1 </t>
  </si>
  <si>
    <t xml:space="preserve">Operario 2 </t>
  </si>
  <si>
    <t xml:space="preserve">Operario 3 </t>
  </si>
  <si>
    <t>Operario 4</t>
  </si>
  <si>
    <t>Operaro 5</t>
  </si>
  <si>
    <t xml:space="preserve">Maquinaria 1 </t>
  </si>
  <si>
    <t xml:space="preserve">Local </t>
  </si>
  <si>
    <t xml:space="preserve">TOMA DE DECISIONES  </t>
  </si>
  <si>
    <t xml:space="preserve">Precio Valor Unitario Promedio </t>
  </si>
  <si>
    <t xml:space="preserve">Costo Variable Unitario  Promedio </t>
  </si>
  <si>
    <t xml:space="preserve">Costo Variable Unitario $ </t>
  </si>
  <si>
    <t>Costo variable total %</t>
  </si>
  <si>
    <t xml:space="preserve">Utilidad Unitaria  Promedio </t>
  </si>
  <si>
    <t xml:space="preserve">Unidades Promedio Vendidas Año </t>
  </si>
  <si>
    <t xml:space="preserve">Punto de equilibrio en Unidades </t>
  </si>
  <si>
    <t>ROA</t>
  </si>
  <si>
    <t xml:space="preserve">ROE </t>
  </si>
  <si>
    <t xml:space="preserve">ROI </t>
  </si>
  <si>
    <t xml:space="preserve">INDICADORES PUNTO EQUILIBRIO </t>
  </si>
  <si>
    <t xml:space="preserve">Otros pasivos </t>
  </si>
  <si>
    <t xml:space="preserve">Ajuste de Balance  </t>
  </si>
  <si>
    <t xml:space="preserve">Revisar las macros en la pestaña  VISTA  Y BUSCAR Ajuste de Balance ejecutar para realizar la r4evision final </t>
  </si>
  <si>
    <t xml:space="preserve">DIRECCIONAMIENTO ESTRATEGICO </t>
  </si>
  <si>
    <t>Para desarrollar el portafolio debe describir cuales son los diferentes productos o servicio que ofrecerá u ofrece su empresa dentro de esta descripción no puede faltar los precios, imágenes, descripción técnica y recuerde que entre más profunda sea la descripción de estos su nota será mejor valorada.</t>
  </si>
  <si>
    <t>Describa el perfil y segmentación de su cliente. Justifique las razones de su elección en 5 líneas</t>
  </si>
  <si>
    <t>1.  Idea de negocio</t>
  </si>
  <si>
    <t>2. ¿Por qué esa idea?</t>
  </si>
  <si>
    <t>3. Portafolio</t>
  </si>
  <si>
    <t>4. ¿A quién vamos dirigidos?</t>
  </si>
  <si>
    <t>indique brevemente en 5 lineas la tendencia del mercado y el comportamiento del consumidor</t>
  </si>
  <si>
    <t>5. Oportunidad de Mercado</t>
  </si>
  <si>
    <t>Objetivos estratégicos</t>
  </si>
  <si>
    <t xml:space="preserve">De acuerdo con lo visto en clase debe colocar al menos 3 objetivos estratégicos para su empresa a continuación le damos un ejemplo: Por ejemplo, para una empresa de celulares podemos encontrar los siguientes objetivos:
• Desarrollar modelos nuevos y más llamativos
• Incrementar la presencia en medios de comunicación
• Fomentar la especialización y el crecimiento del capital humano </t>
  </si>
  <si>
    <t>Futuro Preferido</t>
  </si>
  <si>
    <t>Para definir la visión de tu negocio, debes reflexionar acerca de qué quieres que la empresa sea a largo plazo. Quizá tu deseo se aclare al
pensarla tras 10, 15 o 20 años. Todos quieren ser líderes: haz la diferencia al mostrar la importancia de tu compañía para la sociedad en general, las comunidades y los colaboradores. Al crear la visión de tu empresa es importante que también menciones cómo lo lograrás, pues esa es la clave de un sueño grande y posible al mismo tiempo</t>
  </si>
  <si>
    <t>Misión de la empresa</t>
  </si>
  <si>
    <t>Créala en 3 sencillos pasos:
• Vuelve a los orígenes: más allá de la rentabilidad, ¿por qué tu empresa tiene esa labor específica? Comienza con un verbo
como «buscamos», «ayudamos» o, si deseas un efecto menos sutil: «luchamos» o «perseveramos».
• Recuerda hacia quiénes te diriges: identifica a quiénes quieres ayudar o cómo enfocarías tu valor hacia cierto sector del
mercado.
• Piensa en qué te diferencia: tienes miles de competidores, pero solo tú ofreces algo en el servicio al cliente, o quizá
aportas un valor social extraordinario.
Así tendrás como resultado una declaración relevante y específica, tanto en el nivel interno como hacia el exterior.</t>
  </si>
  <si>
    <t>Valores de la empresa</t>
  </si>
  <si>
    <t>Si valoras todo, no valoras nada; por lo que es crucial que te enfoques en elegir únicamente de 3 a 10 principios que doten de identidad al negocio y que realmente constituyan pilares para tu empresa. Por ejemplo, si consideras que el valor «innovación» se refleja en las decisiones que se toman en tu compañía, entonces debería estar en tu lista. Una clave para ayudarte a definir los valores de tu empresa es que la imagines como una persona.</t>
  </si>
  <si>
    <t>Cadena de valor</t>
  </si>
  <si>
    <t>Ejemplo cadena de valor</t>
  </si>
  <si>
    <r>
      <t xml:space="preserve">Para profundizar en los conceptos de cadena de valor puede revisar el siguiente video https://www.youtube.com/watch?v=BIAoXFytkpw al igual que revisar la presentación de la clase de la semana número 1. </t>
    </r>
    <r>
      <rPr>
        <b/>
        <i/>
        <sz val="14"/>
        <color theme="1"/>
        <rFont val="Calibri (Cuerpo)"/>
      </rPr>
      <t>(pegar la cadena de valor en formato de imagen)</t>
    </r>
    <r>
      <rPr>
        <i/>
        <sz val="11"/>
        <color theme="1"/>
        <rFont val="Calibri"/>
        <family val="2"/>
        <scheme val="minor"/>
      </rPr>
      <t xml:space="preserve"> </t>
    </r>
  </si>
  <si>
    <t>3. Estructura organizacional y funcional</t>
  </si>
  <si>
    <t>Organigrama de la empresa</t>
  </si>
  <si>
    <t>Descripción idea de negocio (mínimo 200 palabras): En este punto se debe colocar la descripción de su idea de negocio, esta descripción debe incluir Nombre se la empresa y actividad económica.</t>
  </si>
  <si>
    <r>
      <t>Déjanos saber cual es la necesidad insatisfecha o la oportunidad del mercado, ademas del factor de innovacion que se tiene identificado.  (</t>
    </r>
    <r>
      <rPr>
        <b/>
        <i/>
        <sz val="11"/>
        <color theme="1"/>
        <rFont val="Calibri"/>
        <family val="2"/>
        <scheme val="minor"/>
      </rPr>
      <t>Maximo 5 líneas)</t>
    </r>
  </si>
  <si>
    <t xml:space="preserve">IDEA DE NEGOCIO </t>
  </si>
  <si>
    <r>
      <t xml:space="preserve">¿Quienes me ayudan a generar valor desde mi Empresa? Explicar el por qué de la estructura organizacional y la cultura en máximo 200 caracteres. es importante que realice gráficos explicativos donde se evidencie claramente que tipo de estructura está planteando </t>
    </r>
    <r>
      <rPr>
        <b/>
        <i/>
        <sz val="11"/>
        <color theme="1"/>
        <rFont val="Calibri"/>
        <family val="2"/>
        <scheme val="minor"/>
      </rPr>
      <t>(formato imagen y texto)</t>
    </r>
    <r>
      <rPr>
        <i/>
        <sz val="11"/>
        <color theme="1"/>
        <rFont val="Calibri"/>
        <family val="2"/>
        <scheme val="minor"/>
      </rPr>
      <t xml:space="preserve"> </t>
    </r>
  </si>
  <si>
    <t>Figura legal de la constitución de la empresa</t>
  </si>
  <si>
    <t>Definir el tipo de empresa que va a constituir, si es persona natural o jurídica y argumentar las razones por las cuales eligió esa opción (máximo diez renglones). De igual manera debe indicar mediante un listado, cuáles son los documentos que requiere para constituir el tipo de empresa elegido.</t>
  </si>
  <si>
    <t>Normatividad empresarial</t>
  </si>
  <si>
    <t>Detallar mediante listado y breve descripción de cada tramite, los requisitos legales que debe cumplir a nivel tributario (régimen al que pertenecerá), así mismo que tramites debe realizar a nivel laboral y de funcionamiento</t>
  </si>
  <si>
    <t xml:space="preserve">Perfil del cargo  </t>
  </si>
  <si>
    <r>
      <t xml:space="preserve">Revise muy bien los componentes que debe tener un perfil de cargo, los cuales están en la presentación de la semana y también tenga en cuenta que no debe ncluirlos todos , la recomendación es realizar uno por cada nivel jerárquico , recuerde que esta función la debe realizar el director de Recursos Humanos y su equipo de trabajo con el visto bueno de quien solicita el cargo, ideal entre 4 y 5 ( lo mas importante bajo su mejor criterio ).
</t>
    </r>
    <r>
      <rPr>
        <b/>
        <i/>
        <sz val="11"/>
        <color theme="1"/>
        <rFont val="Calibri"/>
        <family val="2"/>
        <scheme val="minor"/>
      </rPr>
      <t>Recuerde que no debe incluir todos los perfiles de cargo de todos los empleados esto dificultaría la revisión y validación.</t>
    </r>
  </si>
  <si>
    <t>¿Cómo se alinean la identidad estratégica, el futuro preferido y los valores de la empresa con la ventaja competitiva propuesta?</t>
  </si>
  <si>
    <t xml:space="preserve">Pregunta de validación obligatoria </t>
  </si>
  <si>
    <t>¿Cómo se diferencian las claves de éxito identificadas de las ventajas competitivas comunes en el mercado?</t>
  </si>
  <si>
    <t>¿De qué manera el organigrama y los perfiles de cargo propuestos apoyan la implementación de la estrategia empresarial?</t>
  </si>
  <si>
    <t xml:space="preserve">
¿Por qué la figura legal elegida es la más adecuada para el proyecto empresarial propuesto?</t>
  </si>
  <si>
    <t>Qué conclusiones se pueden extraer del análisis conjunto del estado de resultados, balance general y flujo de caja en relación con la viabilidad financiera del proyecto?</t>
  </si>
  <si>
    <t xml:space="preserve">Pregunta de validación obligatoria 							</t>
  </si>
  <si>
    <t>¿Cómo respaldan los indicadores financieros calculados la conclusión financiera del proyecto?</t>
  </si>
  <si>
    <t>Qué conclusiones y recomendaciones  para abordar  los desafíos y oportunidades identificados a lo largo del proyecto?</t>
  </si>
  <si>
    <t>¿Cómo se justifica la composición y el monto de la inversión inicial en relación con las necesidades específicas del proyecto?</t>
  </si>
  <si>
    <t>¿De qué manera la estrategia de financiación elegida impacta en la estructura de capital y la rentabilidad esperada del proyecto?</t>
  </si>
  <si>
    <t>¿Cómo afectan los costos variables identificados a la flexibilidad operativa y la competitividad del negocio en diferentes escenarios de demanda?</t>
  </si>
  <si>
    <t>¿En qué medida los gastos fijos proyectados contribuyen a la eficiencia operativa y la escalabilidad del negocio?</t>
  </si>
  <si>
    <t>Cómo el análisis del punto de equilibrio influye en las decisiones estratégicas sobre precios y volumen de ventas?</t>
  </si>
  <si>
    <t>¿Qué factores clave se han considerado en la proyección de ventas y cómo se justifica su impacto en los resultados esperados?</t>
  </si>
  <si>
    <t xml:space="preserve">Cómo refleja el estado de resultados proyectado la eficiencia operativa y la capacidad de generación de utilidades del negocio a lo largo del tiempo?
</t>
  </si>
  <si>
    <t>¿Qué tendencias significativas se pueden identificar en el estado de resultados y cómo se relacionan con las estrategias implementadas en el proyecto?</t>
  </si>
  <si>
    <t>¿De qué manera la estructura de activos, pasivos y patrimonio presentada en el balance general respalda la estrategia de crecimiento y sostenibilidad financiera del proyecto?</t>
  </si>
  <si>
    <t xml:space="preserve">Integrantes </t>
  </si>
  <si>
    <t xml:space="preserve">Nombre Completo </t>
  </si>
  <si>
    <t>Documento</t>
  </si>
  <si>
    <t xml:space="preserve">Correo insitucional </t>
  </si>
  <si>
    <t xml:space="preserve"># de ficha </t>
  </si>
  <si>
    <t># de integrante</t>
  </si>
  <si>
    <t xml:space="preserve">Entrega Segundo Corte </t>
  </si>
  <si>
    <t xml:space="preserve">Entrega Tercer Corte </t>
  </si>
  <si>
    <t xml:space="preserve">Entrega primer Corte </t>
  </si>
  <si>
    <t xml:space="preserve">Pestañas de entrega por corte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</si>
</sst>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 #,##0;[Red]\-&quot;$&quot;\ #,##0"/>
    <numFmt numFmtId="8" formatCode="&quot;$&quot;\ #,##0.00;[Red]\-&quot;$&quot;\ #,##0.00"/>
    <numFmt numFmtId="42" formatCode="_-&quot;$&quot;\ * #,##0_-;\-&quot;$&quot;\ * #,##0_-;_-&quot;$&quot;\ * &quot;-&quot;_-;_-@_-"/>
    <numFmt numFmtId="44" formatCode="_-&quot;$&quot;\ * #,##0.00_-;\-&quot;$&quot;\ * #,##0.00_-;_-&quot;$&quot;\ * &quot;-&quot;??_-;_-@_-"/>
    <numFmt numFmtId="43" formatCode="_-* #,##0.00_-;\-* #,##0.00_-;_-* &quot;-&quot;??_-;_-@_-"/>
    <numFmt numFmtId="164" formatCode="_(&quot;$&quot;\ * #,##0.00_);_(&quot;$&quot;\ * \(#,##0.00\);_(&quot;$&quot;\ * &quot;-&quot;??_);_(@_)"/>
    <numFmt numFmtId="165" formatCode="_-* #,##0.00\ [$€-1]_-;\-* #,##0.00\ [$€-1]_-;_-* &quot;-&quot;??\ [$€-1]_-"/>
    <numFmt numFmtId="166" formatCode="0.0%"/>
    <numFmt numFmtId="167" formatCode="_-* #,##0\ _p_t_a_-;\-* #,##0\ _p_t_a_-;_-* &quot;-&quot;\ _p_t_a_-;_-@_-"/>
    <numFmt numFmtId="168" formatCode="#,##0_ ;\-#,##0\ "/>
    <numFmt numFmtId="169" formatCode="&quot;$&quot;\ #,##0"/>
    <numFmt numFmtId="170" formatCode="_(&quot;$&quot;\ * #,##0_);_(&quot;$&quot;\ * \(#,##0\);_(&quot;$&quot;\ * &quot;-&quot;??_);_(@_)"/>
    <numFmt numFmtId="171" formatCode="_-* #,##0.00\ _€_-;\-* #,##0.00\ _€_-;_-* &quot;-&quot;??\ _€_-;_-@_-"/>
    <numFmt numFmtId="172" formatCode="_-[$$-240A]\ * #,##0.00_-;\-[$$-240A]\ * #,##0.00_-;_-[$$-240A]\ * &quot;-&quot;??_-;_-@_-"/>
    <numFmt numFmtId="173" formatCode="_-* #,##0_-;\-* #,##0_-;_-* &quot;-&quot;??_-;_-@_-"/>
    <numFmt numFmtId="174" formatCode="_(&quot;$&quot;\ * #,##0.0000_);_(&quot;$&quot;\ * \(#,##0.0000\);_(&quot;$&quot;\ * &quot;-&quot;??_);_(@_)"/>
    <numFmt numFmtId="175" formatCode="_-* #,##0.0000_-;\-* #,##0.0000_-;_-* &quot;-&quot;??_-;_-@_-"/>
  </numFmts>
  <fonts count="48">
    <font>
      <sz val="11"/>
      <color theme="1"/>
      <name val="Calibri"/>
      <family val="2"/>
      <scheme val="minor"/>
    </font>
    <font>
      <sz val="11"/>
      <color theme="1"/>
      <name val="Calibri"/>
      <family val="2"/>
      <scheme val="minor"/>
    </font>
    <font>
      <sz val="10"/>
      <name val="Arial"/>
      <family val="2"/>
    </font>
    <font>
      <u/>
      <sz val="10"/>
      <color indexed="12"/>
      <name val="Arial"/>
      <family val="2"/>
    </font>
    <font>
      <b/>
      <sz val="10"/>
      <color indexed="81"/>
      <name val="Calibri"/>
      <family val="2"/>
    </font>
    <font>
      <sz val="8"/>
      <color indexed="81"/>
      <name val="Tahoma"/>
      <family val="2"/>
    </font>
    <font>
      <sz val="10"/>
      <color indexed="81"/>
      <name val="Calibri"/>
      <family val="2"/>
    </font>
    <font>
      <b/>
      <sz val="8"/>
      <color indexed="81"/>
      <name val="Tahoma"/>
      <family val="2"/>
    </font>
    <font>
      <sz val="10"/>
      <color theme="1"/>
      <name val="Trebuchet MS"/>
      <family val="2"/>
    </font>
    <font>
      <sz val="10"/>
      <color indexed="8"/>
      <name val="Trebuchet MS"/>
      <family val="2"/>
    </font>
    <font>
      <sz val="11"/>
      <color theme="3" tint="-0.499984740745262"/>
      <name val="Gisha"/>
      <family val="2"/>
    </font>
    <font>
      <b/>
      <sz val="14"/>
      <color theme="3" tint="-0.499984740745262"/>
      <name val="Gisha"/>
      <family val="2"/>
    </font>
    <font>
      <b/>
      <sz val="11"/>
      <color theme="3" tint="-0.499984740745262"/>
      <name val="Gisha"/>
      <family val="2"/>
    </font>
    <font>
      <b/>
      <sz val="10"/>
      <color theme="3" tint="-0.499984740745262"/>
      <name val="Gisha"/>
      <family val="2"/>
    </font>
    <font>
      <sz val="10"/>
      <color theme="3" tint="-0.499984740745262"/>
      <name val="Gisha"/>
      <family val="2"/>
    </font>
    <font>
      <b/>
      <sz val="12"/>
      <color theme="3" tint="-0.499984740745262"/>
      <name val="Gisha"/>
      <family val="2"/>
    </font>
    <font>
      <u/>
      <sz val="12"/>
      <color theme="3" tint="-0.499984740745262"/>
      <name val="Gisha"/>
      <family val="2"/>
    </font>
    <font>
      <sz val="12"/>
      <color theme="3" tint="-0.499984740745262"/>
      <name val="Gisha"/>
      <family val="2"/>
    </font>
    <font>
      <b/>
      <sz val="9"/>
      <color theme="3" tint="-0.499984740745262"/>
      <name val="Gisha"/>
      <family val="2"/>
    </font>
    <font>
      <sz val="8"/>
      <name val="Calibri"/>
      <family val="2"/>
      <scheme val="minor"/>
    </font>
    <font>
      <b/>
      <sz val="10"/>
      <color theme="3" tint="-0.499984740745262"/>
      <name val="Gisha"/>
      <family val="2"/>
    </font>
    <font>
      <strike/>
      <sz val="11"/>
      <color theme="3" tint="-0.499984740745262"/>
      <name val="Gisha"/>
      <family val="2"/>
    </font>
    <font>
      <b/>
      <sz val="11"/>
      <color theme="3" tint="-0.499984740745262"/>
      <name val="Gisha"/>
      <family val="2"/>
    </font>
    <font>
      <b/>
      <sz val="11"/>
      <name val="Gisha"/>
      <family val="2"/>
    </font>
    <font>
      <b/>
      <sz val="11"/>
      <color theme="0"/>
      <name val="Gisha"/>
      <family val="2"/>
    </font>
    <font>
      <b/>
      <sz val="10"/>
      <color theme="0"/>
      <name val="Gisha"/>
      <family val="2"/>
    </font>
    <font>
      <b/>
      <sz val="11"/>
      <color theme="1"/>
      <name val="Gisha"/>
      <family val="2"/>
    </font>
    <font>
      <b/>
      <sz val="10"/>
      <color theme="1"/>
      <name val="Gisha"/>
      <family val="2"/>
    </font>
    <font>
      <b/>
      <sz val="10"/>
      <color theme="1"/>
      <name val="Gisha"/>
      <family val="2"/>
    </font>
    <font>
      <sz val="10"/>
      <color theme="3" tint="-0.499984740745262"/>
      <name val="Gisha"/>
      <family val="2"/>
    </font>
    <font>
      <b/>
      <sz val="11"/>
      <color theme="1"/>
      <name val="Calibri"/>
      <family val="2"/>
      <scheme val="minor"/>
    </font>
    <font>
      <sz val="11"/>
      <color theme="0"/>
      <name val="Gisha"/>
      <family val="2"/>
    </font>
    <font>
      <sz val="10"/>
      <color theme="1"/>
      <name val="Calibri"/>
      <family val="2"/>
      <scheme val="minor"/>
    </font>
    <font>
      <sz val="11"/>
      <color rgb="FFFF0000"/>
      <name val="Gisha"/>
      <family val="2"/>
    </font>
    <font>
      <sz val="11"/>
      <color rgb="FF00B050"/>
      <name val="Gisha"/>
      <family val="2"/>
    </font>
    <font>
      <b/>
      <sz val="18"/>
      <color theme="1"/>
      <name val="Calibri"/>
      <family val="2"/>
      <scheme val="minor"/>
    </font>
    <font>
      <b/>
      <sz val="36"/>
      <color theme="1"/>
      <name val="Calibri"/>
      <family val="2"/>
      <scheme val="minor"/>
    </font>
    <font>
      <i/>
      <sz val="11"/>
      <color theme="1"/>
      <name val="Calibri"/>
      <family val="2"/>
      <scheme val="minor"/>
    </font>
    <font>
      <b/>
      <i/>
      <sz val="11"/>
      <color theme="1"/>
      <name val="Calibri"/>
      <family val="2"/>
      <scheme val="minor"/>
    </font>
    <font>
      <b/>
      <i/>
      <sz val="14"/>
      <color theme="1"/>
      <name val="Calibri (Cuerpo)"/>
    </font>
    <font>
      <b/>
      <i/>
      <sz val="18"/>
      <color theme="1"/>
      <name val="Calibri"/>
      <family val="2"/>
      <scheme val="minor"/>
    </font>
    <font>
      <b/>
      <i/>
      <sz val="20"/>
      <color theme="1"/>
      <name val="Calibri"/>
      <family val="2"/>
      <scheme val="minor"/>
    </font>
    <font>
      <b/>
      <sz val="11"/>
      <color theme="3" tint="-0.499984740745262"/>
      <name val="Gisha"/>
    </font>
    <font>
      <b/>
      <sz val="20"/>
      <color theme="3" tint="-0.499984740745262"/>
      <name val="Gisha"/>
    </font>
    <font>
      <sz val="20"/>
      <color theme="3" tint="-0.499984740745262"/>
      <name val="Gisha"/>
    </font>
    <font>
      <sz val="20"/>
      <color rgb="FFFF0000"/>
      <name val="Gisha"/>
    </font>
    <font>
      <b/>
      <sz val="14"/>
      <color theme="1"/>
      <name val="Calibri"/>
      <family val="2"/>
      <scheme val="minor"/>
    </font>
    <font>
      <b/>
      <sz val="12"/>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00B050"/>
        <bgColor indexed="64"/>
      </patternFill>
    </fill>
    <fill>
      <patternFill patternType="solid">
        <fgColor theme="9" tint="0.59999389629810485"/>
        <bgColor indexed="64"/>
      </patternFill>
    </fill>
    <fill>
      <patternFill patternType="solid">
        <fgColor rgb="FFCCCCFF"/>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theme="9" tint="0.59996337778862885"/>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2" tint="-0.24994659260841701"/>
        <bgColor indexed="64"/>
      </patternFill>
    </fill>
    <fill>
      <patternFill patternType="solid">
        <fgColor theme="8" tint="0.3999450666829432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6"/>
        <bgColor indexed="64"/>
      </patternFill>
    </fill>
  </fills>
  <borders count="7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double">
        <color rgb="FF00B050"/>
      </left>
      <right style="double">
        <color rgb="FF00B050"/>
      </right>
      <top style="double">
        <color rgb="FF00B050"/>
      </top>
      <bottom style="double">
        <color rgb="FF00B050"/>
      </bottom>
      <diagonal/>
    </border>
    <border>
      <left/>
      <right style="double">
        <color rgb="FF00B050"/>
      </right>
      <top style="double">
        <color rgb="FF00B050"/>
      </top>
      <bottom style="double">
        <color rgb="FF00B05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diagonal/>
    </border>
    <border>
      <left style="thin">
        <color rgb="FF0070C0"/>
      </left>
      <right/>
      <top/>
      <bottom style="thin">
        <color rgb="FF0070C0"/>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style="thin">
        <color rgb="FF0070C0"/>
      </right>
      <top style="thin">
        <color indexed="64"/>
      </top>
      <bottom style="double">
        <color indexed="64"/>
      </bottom>
      <diagonal/>
    </border>
    <border>
      <left style="thin">
        <color rgb="FF0070C0"/>
      </left>
      <right style="thin">
        <color rgb="FF0070C0"/>
      </right>
      <top/>
      <bottom style="thin">
        <color rgb="FF0070C0"/>
      </bottom>
      <diagonal/>
    </border>
    <border>
      <left style="thin">
        <color rgb="FF0070C0"/>
      </left>
      <right style="thin">
        <color rgb="FF0070C0"/>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style="medium">
        <color indexed="64"/>
      </left>
      <right style="thin">
        <color rgb="FF0070C0"/>
      </right>
      <top style="thin">
        <color rgb="FF0070C0"/>
      </top>
      <bottom style="thin">
        <color rgb="FF0070C0"/>
      </bottom>
      <diagonal/>
    </border>
    <border>
      <left style="thin">
        <color rgb="FF0070C0"/>
      </left>
      <right style="medium">
        <color indexed="64"/>
      </right>
      <top style="thin">
        <color rgb="FF0070C0"/>
      </top>
      <bottom style="thin">
        <color rgb="FF0070C0"/>
      </bottom>
      <diagonal/>
    </border>
    <border>
      <left style="medium">
        <color indexed="64"/>
      </left>
      <right style="thin">
        <color rgb="FF0070C0"/>
      </right>
      <top style="thin">
        <color rgb="FF0070C0"/>
      </top>
      <bottom style="medium">
        <color indexed="64"/>
      </bottom>
      <diagonal/>
    </border>
    <border>
      <left style="thin">
        <color rgb="FF0070C0"/>
      </left>
      <right style="thin">
        <color rgb="FF0070C0"/>
      </right>
      <top style="thin">
        <color rgb="FF0070C0"/>
      </top>
      <bottom style="medium">
        <color indexed="64"/>
      </bottom>
      <diagonal/>
    </border>
    <border>
      <left style="thin">
        <color rgb="FF0070C0"/>
      </left>
      <right style="medium">
        <color indexed="64"/>
      </right>
      <top style="thin">
        <color rgb="FF0070C0"/>
      </top>
      <bottom style="medium">
        <color indexed="64"/>
      </bottom>
      <diagonal/>
    </border>
    <border>
      <left style="medium">
        <color indexed="64"/>
      </left>
      <right style="medium">
        <color indexed="64"/>
      </right>
      <top style="medium">
        <color indexed="64"/>
      </top>
      <bottom style="thin">
        <color rgb="FF0070C0"/>
      </bottom>
      <diagonal/>
    </border>
    <border>
      <left style="medium">
        <color indexed="64"/>
      </left>
      <right style="medium">
        <color indexed="64"/>
      </right>
      <top style="thin">
        <color rgb="FF0070C0"/>
      </top>
      <bottom style="thin">
        <color rgb="FF0070C0"/>
      </bottom>
      <diagonal/>
    </border>
    <border>
      <left style="medium">
        <color indexed="64"/>
      </left>
      <right style="medium">
        <color indexed="64"/>
      </right>
      <top style="thin">
        <color rgb="FF0070C0"/>
      </top>
      <bottom style="medium">
        <color indexed="64"/>
      </bottom>
      <diagonal/>
    </border>
    <border>
      <left style="medium">
        <color indexed="64"/>
      </left>
      <right style="thin">
        <color rgb="FF0070C0"/>
      </right>
      <top/>
      <bottom style="thin">
        <color rgb="FF0070C0"/>
      </bottom>
      <diagonal/>
    </border>
    <border>
      <left style="thin">
        <color rgb="FF0070C0"/>
      </left>
      <right style="medium">
        <color indexed="64"/>
      </right>
      <top/>
      <bottom style="thin">
        <color rgb="FF0070C0"/>
      </bottom>
      <diagonal/>
    </border>
    <border>
      <left style="medium">
        <color indexed="64"/>
      </left>
      <right style="thin">
        <color rgb="FF0070C0"/>
      </right>
      <top style="medium">
        <color indexed="64"/>
      </top>
      <bottom style="medium">
        <color indexed="64"/>
      </bottom>
      <diagonal/>
    </border>
    <border>
      <left style="thin">
        <color rgb="FF0070C0"/>
      </left>
      <right style="thin">
        <color rgb="FF0070C0"/>
      </right>
      <top style="medium">
        <color indexed="64"/>
      </top>
      <bottom style="medium">
        <color indexed="64"/>
      </bottom>
      <diagonal/>
    </border>
    <border>
      <left style="thin">
        <color rgb="FF0070C0"/>
      </left>
      <right style="medium">
        <color indexed="64"/>
      </right>
      <top style="medium">
        <color indexed="64"/>
      </top>
      <bottom style="medium">
        <color indexed="64"/>
      </bottom>
      <diagonal/>
    </border>
    <border>
      <left/>
      <right/>
      <top style="thin">
        <color rgb="FF0070C0"/>
      </top>
      <bottom style="thin">
        <color rgb="FF0070C0"/>
      </bottom>
      <diagonal/>
    </border>
    <border>
      <left style="thin">
        <color rgb="FF0070C0"/>
      </left>
      <right style="thin">
        <color rgb="FF0070C0"/>
      </right>
      <top/>
      <bottom/>
      <diagonal/>
    </border>
    <border>
      <left style="medium">
        <color indexed="64"/>
      </left>
      <right style="thin">
        <color indexed="64"/>
      </right>
      <top style="medium">
        <color indexed="64"/>
      </top>
      <bottom style="medium">
        <color indexed="64"/>
      </bottom>
      <diagonal/>
    </border>
    <border>
      <left/>
      <right/>
      <top/>
      <bottom style="thin">
        <color rgb="FF0070C0"/>
      </bottom>
      <diagonal/>
    </border>
    <border>
      <left/>
      <right/>
      <top style="thin">
        <color rgb="FF0070C0"/>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13">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167" fontId="2" fillId="0" borderId="0" applyFont="0" applyFill="0" applyBorder="0" applyAlignment="0" applyProtection="0"/>
    <xf numFmtId="0" fontId="8" fillId="0" borderId="0"/>
    <xf numFmtId="171" fontId="9" fillId="0" borderId="0" applyFont="0" applyFill="0" applyBorder="0" applyAlignment="0" applyProtection="0"/>
    <xf numFmtId="9" fontId="9" fillId="0" borderId="0" applyFont="0" applyFill="0" applyBorder="0" applyAlignment="0" applyProtection="0"/>
    <xf numFmtId="9" fontId="2" fillId="0" borderId="0" applyFont="0" applyFill="0" applyBorder="0" applyAlignment="0" applyProtection="0"/>
    <xf numFmtId="42"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1">
    <xf numFmtId="0" fontId="0" fillId="0" borderId="0" xfId="0"/>
    <xf numFmtId="0" fontId="10" fillId="2" borderId="0" xfId="0" applyFont="1" applyFill="1"/>
    <xf numFmtId="168" fontId="13" fillId="2" borderId="0" xfId="5" applyNumberFormat="1" applyFont="1" applyFill="1" applyBorder="1" applyAlignment="1" applyProtection="1">
      <alignment horizontal="center" vertical="center"/>
      <protection hidden="1"/>
    </xf>
    <xf numFmtId="168" fontId="13" fillId="2" borderId="12" xfId="5" applyNumberFormat="1" applyFont="1" applyFill="1" applyBorder="1" applyAlignment="1" applyProtection="1">
      <alignment horizontal="center" vertical="center"/>
      <protection hidden="1"/>
    </xf>
    <xf numFmtId="170" fontId="13" fillId="2" borderId="0" xfId="5" applyNumberFormat="1" applyFont="1" applyFill="1" applyBorder="1" applyAlignment="1" applyProtection="1">
      <protection hidden="1"/>
    </xf>
    <xf numFmtId="170" fontId="14" fillId="2" borderId="0" xfId="5" applyNumberFormat="1" applyFont="1" applyFill="1" applyBorder="1" applyAlignment="1" applyProtection="1">
      <protection hidden="1"/>
    </xf>
    <xf numFmtId="170" fontId="14" fillId="2" borderId="12" xfId="5" applyNumberFormat="1" applyFont="1" applyFill="1" applyBorder="1" applyAlignment="1" applyProtection="1">
      <protection hidden="1"/>
    </xf>
    <xf numFmtId="0" fontId="12" fillId="2" borderId="0" xfId="0" applyFont="1" applyFill="1"/>
    <xf numFmtId="170" fontId="10" fillId="2" borderId="0" xfId="0" applyNumberFormat="1" applyFont="1" applyFill="1"/>
    <xf numFmtId="0" fontId="14" fillId="2" borderId="0" xfId="2" applyFont="1" applyFill="1"/>
    <xf numFmtId="0" fontId="13" fillId="2" borderId="10" xfId="2" applyFont="1" applyFill="1" applyBorder="1" applyAlignment="1">
      <alignment horizontal="center"/>
    </xf>
    <xf numFmtId="0" fontId="13" fillId="2" borderId="0" xfId="2" applyFont="1" applyFill="1" applyAlignment="1">
      <alignment horizontal="center"/>
    </xf>
    <xf numFmtId="170" fontId="14" fillId="2" borderId="0" xfId="2" applyNumberFormat="1" applyFont="1" applyFill="1" applyProtection="1">
      <protection locked="0"/>
    </xf>
    <xf numFmtId="169" fontId="14" fillId="2" borderId="0" xfId="2" applyNumberFormat="1" applyFont="1" applyFill="1" applyProtection="1">
      <protection locked="0"/>
    </xf>
    <xf numFmtId="0" fontId="15" fillId="2" borderId="12" xfId="2" applyFont="1" applyFill="1" applyBorder="1" applyAlignment="1">
      <alignment horizontal="center"/>
    </xf>
    <xf numFmtId="0" fontId="13" fillId="2" borderId="12" xfId="0" applyFont="1" applyFill="1" applyBorder="1" applyAlignment="1">
      <alignment vertical="top" wrapText="1"/>
    </xf>
    <xf numFmtId="0" fontId="13" fillId="2" borderId="11" xfId="2" applyFont="1" applyFill="1" applyBorder="1" applyAlignment="1">
      <alignment horizontal="center"/>
    </xf>
    <xf numFmtId="0" fontId="13" fillId="2" borderId="12" xfId="2" applyFont="1" applyFill="1" applyBorder="1"/>
    <xf numFmtId="166" fontId="10" fillId="0" borderId="12" xfId="0" applyNumberFormat="1" applyFont="1" applyBorder="1" applyAlignment="1">
      <alignment horizontal="center"/>
    </xf>
    <xf numFmtId="170" fontId="14" fillId="0" borderId="12" xfId="2" applyNumberFormat="1" applyFont="1" applyBorder="1" applyProtection="1">
      <protection locked="0"/>
    </xf>
    <xf numFmtId="170" fontId="14" fillId="2" borderId="11" xfId="2" applyNumberFormat="1" applyFont="1" applyFill="1" applyBorder="1" applyProtection="1">
      <protection locked="0"/>
    </xf>
    <xf numFmtId="170" fontId="14" fillId="2" borderId="10" xfId="2" applyNumberFormat="1" applyFont="1" applyFill="1" applyBorder="1" applyProtection="1">
      <protection locked="0"/>
    </xf>
    <xf numFmtId="166" fontId="10" fillId="0" borderId="12" xfId="1" applyNumberFormat="1" applyFont="1" applyFill="1" applyBorder="1" applyAlignment="1">
      <alignment horizontal="center"/>
    </xf>
    <xf numFmtId="170" fontId="13" fillId="2" borderId="11" xfId="2" applyNumberFormat="1" applyFont="1" applyFill="1" applyBorder="1" applyAlignment="1">
      <alignment horizontal="center"/>
    </xf>
    <xf numFmtId="170" fontId="13" fillId="2" borderId="10" xfId="2" applyNumberFormat="1" applyFont="1" applyFill="1" applyBorder="1" applyAlignment="1">
      <alignment horizontal="center"/>
    </xf>
    <xf numFmtId="170" fontId="13" fillId="2" borderId="0" xfId="2" applyNumberFormat="1" applyFont="1" applyFill="1" applyAlignment="1">
      <alignment horizontal="center"/>
    </xf>
    <xf numFmtId="0" fontId="10" fillId="2" borderId="0" xfId="0" applyFont="1" applyFill="1" applyAlignment="1">
      <alignment vertical="top" wrapText="1"/>
    </xf>
    <xf numFmtId="0" fontId="13" fillId="2" borderId="0" xfId="0" applyFont="1" applyFill="1"/>
    <xf numFmtId="0" fontId="16" fillId="2" borderId="0" xfId="4" applyFont="1" applyFill="1" applyBorder="1" applyAlignment="1" applyProtection="1"/>
    <xf numFmtId="0" fontId="15" fillId="2" borderId="0" xfId="2" applyFont="1" applyFill="1" applyAlignment="1">
      <alignment horizontal="center"/>
    </xf>
    <xf numFmtId="0" fontId="13" fillId="2" borderId="12" xfId="2" applyFont="1" applyFill="1" applyBorder="1" applyAlignment="1">
      <alignment horizontal="left" indent="1"/>
    </xf>
    <xf numFmtId="170" fontId="14" fillId="2" borderId="12" xfId="2" applyNumberFormat="1" applyFont="1" applyFill="1" applyBorder="1" applyProtection="1">
      <protection locked="0"/>
    </xf>
    <xf numFmtId="0" fontId="15" fillId="2" borderId="0" xfId="0" applyFont="1" applyFill="1"/>
    <xf numFmtId="3" fontId="10" fillId="2" borderId="0" xfId="0" applyNumberFormat="1" applyFont="1" applyFill="1"/>
    <xf numFmtId="10" fontId="10" fillId="2" borderId="0" xfId="1" applyNumberFormat="1" applyFont="1" applyFill="1" applyBorder="1"/>
    <xf numFmtId="0" fontId="12" fillId="2" borderId="0" xfId="2" applyFont="1" applyFill="1" applyAlignment="1">
      <alignment horizontal="center"/>
    </xf>
    <xf numFmtId="0" fontId="13" fillId="2" borderId="0" xfId="2" applyFont="1" applyFill="1" applyAlignment="1">
      <alignment horizontal="left" indent="1"/>
    </xf>
    <xf numFmtId="165" fontId="14" fillId="2" borderId="0" xfId="2" applyNumberFormat="1" applyFont="1" applyFill="1" applyProtection="1">
      <protection locked="0"/>
    </xf>
    <xf numFmtId="0" fontId="17" fillId="2" borderId="0" xfId="0" applyFont="1" applyFill="1"/>
    <xf numFmtId="0" fontId="13" fillId="2" borderId="0" xfId="0" applyFont="1" applyFill="1" applyAlignment="1">
      <alignment horizontal="center"/>
    </xf>
    <xf numFmtId="0" fontId="14" fillId="2" borderId="0" xfId="0" applyFont="1" applyFill="1"/>
    <xf numFmtId="0" fontId="15" fillId="2" borderId="0" xfId="0" applyFont="1" applyFill="1" applyAlignment="1">
      <alignment horizontal="center"/>
    </xf>
    <xf numFmtId="0" fontId="10" fillId="2" borderId="0" xfId="0" applyFont="1" applyFill="1" applyAlignment="1">
      <alignment horizontal="center"/>
    </xf>
    <xf numFmtId="0" fontId="14" fillId="2" borderId="0" xfId="0" applyFont="1" applyFill="1" applyAlignment="1">
      <alignment horizontal="center"/>
    </xf>
    <xf numFmtId="4" fontId="14" fillId="2" borderId="0" xfId="0" applyNumberFormat="1" applyFont="1" applyFill="1"/>
    <xf numFmtId="164" fontId="14" fillId="2" borderId="12" xfId="2" applyNumberFormat="1" applyFont="1" applyFill="1" applyBorder="1" applyProtection="1">
      <protection locked="0"/>
    </xf>
    <xf numFmtId="0" fontId="13" fillId="2" borderId="12" xfId="0" applyFont="1" applyFill="1" applyBorder="1" applyAlignment="1">
      <alignment horizontal="center"/>
    </xf>
    <xf numFmtId="0" fontId="14" fillId="2" borderId="12" xfId="0" applyFont="1" applyFill="1" applyBorder="1" applyAlignment="1">
      <alignment horizontal="center"/>
    </xf>
    <xf numFmtId="165" fontId="14" fillId="2" borderId="0" xfId="0" applyNumberFormat="1" applyFont="1" applyFill="1" applyProtection="1">
      <protection locked="0"/>
    </xf>
    <xf numFmtId="165" fontId="14" fillId="2" borderId="0" xfId="0" applyNumberFormat="1" applyFont="1" applyFill="1" applyAlignment="1" applyProtection="1">
      <alignment horizontal="center"/>
      <protection locked="0"/>
    </xf>
    <xf numFmtId="0" fontId="16" fillId="2" borderId="0" xfId="3" applyFont="1" applyFill="1" applyBorder="1" applyAlignment="1" applyProtection="1"/>
    <xf numFmtId="10" fontId="10" fillId="2" borderId="0" xfId="0" applyNumberFormat="1" applyFont="1" applyFill="1"/>
    <xf numFmtId="10" fontId="14" fillId="2" borderId="0" xfId="0" applyNumberFormat="1" applyFont="1" applyFill="1"/>
    <xf numFmtId="0" fontId="12" fillId="2" borderId="0" xfId="0" applyFont="1" applyFill="1" applyAlignment="1">
      <alignment horizontal="right"/>
    </xf>
    <xf numFmtId="0" fontId="12" fillId="2" borderId="5" xfId="0" applyFont="1" applyFill="1" applyBorder="1"/>
    <xf numFmtId="0" fontId="10" fillId="2" borderId="2" xfId="0" applyFont="1" applyFill="1" applyBorder="1"/>
    <xf numFmtId="0" fontId="10" fillId="2" borderId="3" xfId="0" applyFont="1" applyFill="1" applyBorder="1"/>
    <xf numFmtId="0" fontId="10" fillId="2" borderId="4" xfId="0" applyFont="1" applyFill="1" applyBorder="1"/>
    <xf numFmtId="0" fontId="12" fillId="2" borderId="1" xfId="0" applyFont="1" applyFill="1" applyBorder="1"/>
    <xf numFmtId="0" fontId="10" fillId="2" borderId="9" xfId="0" applyFont="1" applyFill="1" applyBorder="1"/>
    <xf numFmtId="0" fontId="12" fillId="2" borderId="7" xfId="0" applyFont="1" applyFill="1" applyBorder="1" applyAlignment="1">
      <alignment horizontal="center"/>
    </xf>
    <xf numFmtId="0" fontId="12" fillId="2" borderId="6" xfId="0" applyFont="1" applyFill="1" applyBorder="1" applyAlignment="1">
      <alignment horizontal="center"/>
    </xf>
    <xf numFmtId="0" fontId="12" fillId="2" borderId="8" xfId="0" applyFont="1" applyFill="1" applyBorder="1"/>
    <xf numFmtId="10" fontId="10" fillId="2" borderId="8" xfId="0" applyNumberFormat="1" applyFont="1" applyFill="1" applyBorder="1"/>
    <xf numFmtId="10" fontId="12" fillId="2" borderId="8" xfId="0" applyNumberFormat="1" applyFont="1" applyFill="1" applyBorder="1"/>
    <xf numFmtId="170" fontId="14" fillId="2" borderId="12" xfId="0" applyNumberFormat="1" applyFont="1" applyFill="1" applyBorder="1" applyProtection="1">
      <protection locked="0"/>
    </xf>
    <xf numFmtId="0" fontId="15" fillId="2" borderId="15" xfId="2" applyFont="1" applyFill="1" applyBorder="1" applyAlignment="1">
      <alignment horizontal="center"/>
    </xf>
    <xf numFmtId="0" fontId="14" fillId="2" borderId="12" xfId="0" applyFont="1" applyFill="1" applyBorder="1" applyAlignment="1">
      <alignment horizontal="left" vertical="center" wrapText="1"/>
    </xf>
    <xf numFmtId="3" fontId="14" fillId="2" borderId="12" xfId="0" applyNumberFormat="1" applyFont="1" applyFill="1" applyBorder="1" applyAlignment="1">
      <alignment horizontal="center" vertical="center"/>
    </xf>
    <xf numFmtId="0" fontId="14" fillId="2" borderId="12" xfId="0" applyFont="1" applyFill="1" applyBorder="1" applyAlignment="1">
      <alignment horizontal="left"/>
    </xf>
    <xf numFmtId="0" fontId="18" fillId="2" borderId="12" xfId="0" applyFont="1" applyFill="1" applyBorder="1" applyAlignment="1">
      <alignment horizontal="center"/>
    </xf>
    <xf numFmtId="170" fontId="14" fillId="2" borderId="12" xfId="0" applyNumberFormat="1" applyFont="1" applyFill="1" applyBorder="1" applyAlignment="1" applyProtection="1">
      <alignment vertical="center"/>
      <protection locked="0"/>
    </xf>
    <xf numFmtId="0" fontId="14" fillId="2" borderId="12" xfId="0" applyFont="1" applyFill="1" applyBorder="1" applyAlignment="1">
      <alignment horizontal="center" vertical="center"/>
    </xf>
    <xf numFmtId="10" fontId="14" fillId="2" borderId="12" xfId="1" applyNumberFormat="1" applyFont="1" applyFill="1" applyBorder="1" applyAlignment="1">
      <alignment horizontal="center" vertical="center"/>
    </xf>
    <xf numFmtId="0" fontId="10" fillId="2" borderId="12" xfId="0" applyFont="1" applyFill="1" applyBorder="1"/>
    <xf numFmtId="170" fontId="14" fillId="2" borderId="12" xfId="0" applyNumberFormat="1" applyFont="1" applyFill="1" applyBorder="1" applyAlignment="1">
      <alignment horizontal="right" vertical="center"/>
    </xf>
    <xf numFmtId="170" fontId="14" fillId="2" borderId="12" xfId="0" applyNumberFormat="1" applyFont="1" applyFill="1" applyBorder="1" applyAlignment="1">
      <alignment horizontal="center" vertical="center" wrapText="1"/>
    </xf>
    <xf numFmtId="166" fontId="14" fillId="2" borderId="12" xfId="0" applyNumberFormat="1" applyFont="1" applyFill="1" applyBorder="1" applyAlignment="1">
      <alignment vertical="center"/>
    </xf>
    <xf numFmtId="0" fontId="10" fillId="2" borderId="0" xfId="0" applyFont="1" applyFill="1" applyAlignment="1">
      <alignment vertical="center"/>
    </xf>
    <xf numFmtId="0" fontId="13" fillId="2" borderId="12" xfId="0" applyFont="1" applyFill="1" applyBorder="1" applyAlignment="1">
      <alignment horizontal="center" vertical="center" wrapText="1"/>
    </xf>
    <xf numFmtId="3" fontId="14" fillId="2" borderId="12" xfId="0" applyNumberFormat="1" applyFont="1" applyFill="1" applyBorder="1" applyAlignment="1">
      <alignment horizontal="center" vertical="top" wrapText="1"/>
    </xf>
    <xf numFmtId="0" fontId="15" fillId="2" borderId="0" xfId="2" applyFont="1" applyFill="1" applyAlignment="1">
      <alignment vertical="center"/>
    </xf>
    <xf numFmtId="0" fontId="13" fillId="2" borderId="0" xfId="0" applyFont="1" applyFill="1" applyAlignment="1">
      <alignment horizontal="center" vertical="center" wrapText="1"/>
    </xf>
    <xf numFmtId="10" fontId="14" fillId="2" borderId="12" xfId="1" applyNumberFormat="1" applyFont="1" applyFill="1" applyBorder="1" applyAlignment="1" applyProtection="1">
      <alignment horizontal="center" vertical="center" wrapText="1"/>
    </xf>
    <xf numFmtId="9" fontId="14" fillId="2" borderId="12" xfId="1" applyFont="1" applyFill="1" applyBorder="1" applyAlignment="1" applyProtection="1">
      <alignment horizontal="center" vertical="center" wrapText="1"/>
    </xf>
    <xf numFmtId="10" fontId="14" fillId="2" borderId="0" xfId="1" applyNumberFormat="1" applyFont="1" applyFill="1" applyBorder="1" applyAlignment="1" applyProtection="1">
      <alignment horizontal="center" vertical="center" wrapText="1"/>
    </xf>
    <xf numFmtId="10" fontId="14" fillId="2" borderId="0" xfId="1" applyNumberFormat="1" applyFont="1" applyFill="1" applyBorder="1" applyAlignment="1">
      <alignment horizontal="center" vertical="center" wrapText="1"/>
    </xf>
    <xf numFmtId="166" fontId="14" fillId="2" borderId="12" xfId="1" applyNumberFormat="1" applyFont="1" applyFill="1" applyBorder="1" applyAlignment="1">
      <alignment horizontal="right" vertical="top" wrapText="1"/>
    </xf>
    <xf numFmtId="10" fontId="10" fillId="2" borderId="12" xfId="0" applyNumberFormat="1" applyFont="1" applyFill="1" applyBorder="1"/>
    <xf numFmtId="170" fontId="14" fillId="2" borderId="12" xfId="5" applyNumberFormat="1" applyFont="1" applyFill="1" applyBorder="1" applyAlignment="1" applyProtection="1">
      <alignment vertical="center"/>
      <protection hidden="1"/>
    </xf>
    <xf numFmtId="170" fontId="14" fillId="2" borderId="0" xfId="0" applyNumberFormat="1" applyFont="1" applyFill="1" applyAlignment="1" applyProtection="1">
      <alignment vertical="center"/>
      <protection locked="0"/>
    </xf>
    <xf numFmtId="170" fontId="13" fillId="2" borderId="12" xfId="5" applyNumberFormat="1" applyFont="1" applyFill="1" applyBorder="1" applyAlignment="1" applyProtection="1">
      <alignment vertical="center"/>
      <protection hidden="1"/>
    </xf>
    <xf numFmtId="170" fontId="14" fillId="2" borderId="15" xfId="5" applyNumberFormat="1" applyFont="1" applyFill="1" applyBorder="1" applyAlignment="1" applyProtection="1">
      <protection hidden="1"/>
    </xf>
    <xf numFmtId="170" fontId="13" fillId="4" borderId="19" xfId="5" applyNumberFormat="1" applyFont="1" applyFill="1" applyBorder="1" applyAlignment="1" applyProtection="1">
      <protection hidden="1"/>
    </xf>
    <xf numFmtId="0" fontId="21" fillId="2" borderId="0" xfId="0" applyFont="1" applyFill="1"/>
    <xf numFmtId="170" fontId="13" fillId="7" borderId="12" xfId="5" applyNumberFormat="1" applyFont="1" applyFill="1" applyBorder="1" applyAlignment="1" applyProtection="1">
      <alignment vertical="center"/>
      <protection hidden="1"/>
    </xf>
    <xf numFmtId="6" fontId="13" fillId="7" borderId="12" xfId="5" applyNumberFormat="1" applyFont="1" applyFill="1" applyBorder="1" applyAlignment="1" applyProtection="1">
      <alignment vertical="center"/>
      <protection hidden="1"/>
    </xf>
    <xf numFmtId="6" fontId="10" fillId="2" borderId="0" xfId="0" applyNumberFormat="1" applyFont="1" applyFill="1" applyAlignment="1">
      <alignment vertical="center"/>
    </xf>
    <xf numFmtId="0" fontId="13" fillId="7" borderId="12" xfId="2" applyFont="1" applyFill="1" applyBorder="1" applyAlignment="1">
      <alignment horizontal="center"/>
    </xf>
    <xf numFmtId="0" fontId="12" fillId="2" borderId="0" xfId="0" applyFont="1" applyFill="1" applyAlignment="1">
      <alignment horizontal="center"/>
    </xf>
    <xf numFmtId="0" fontId="22" fillId="2" borderId="0" xfId="0" applyFont="1" applyFill="1"/>
    <xf numFmtId="0" fontId="15" fillId="2" borderId="0" xfId="0" applyFont="1" applyFill="1" applyAlignment="1">
      <alignment horizontal="center" vertical="center"/>
    </xf>
    <xf numFmtId="168" fontId="13" fillId="2" borderId="24" xfId="5" applyNumberFormat="1" applyFont="1" applyFill="1" applyBorder="1" applyAlignment="1" applyProtection="1">
      <alignment horizontal="center" vertical="center"/>
      <protection hidden="1"/>
    </xf>
    <xf numFmtId="170" fontId="14" fillId="2" borderId="24" xfId="5" applyNumberFormat="1" applyFont="1" applyFill="1" applyBorder="1" applyAlignment="1" applyProtection="1">
      <alignment vertical="center"/>
      <protection hidden="1"/>
    </xf>
    <xf numFmtId="170" fontId="13" fillId="2" borderId="24" xfId="5" applyNumberFormat="1" applyFont="1" applyFill="1" applyBorder="1" applyAlignment="1" applyProtection="1">
      <alignment vertical="center"/>
      <protection hidden="1"/>
    </xf>
    <xf numFmtId="170" fontId="14" fillId="2" borderId="26" xfId="5" applyNumberFormat="1" applyFont="1" applyFill="1" applyBorder="1" applyAlignment="1" applyProtection="1">
      <alignment vertical="center"/>
      <protection hidden="1"/>
    </xf>
    <xf numFmtId="170" fontId="14" fillId="8" borderId="25" xfId="5" applyNumberFormat="1" applyFont="1" applyFill="1" applyBorder="1" applyAlignment="1" applyProtection="1">
      <alignment vertical="center"/>
      <protection hidden="1"/>
    </xf>
    <xf numFmtId="170" fontId="13" fillId="7" borderId="25" xfId="5" applyNumberFormat="1" applyFont="1" applyFill="1" applyBorder="1" applyAlignment="1" applyProtection="1">
      <alignment vertical="center"/>
      <protection hidden="1"/>
    </xf>
    <xf numFmtId="170" fontId="13" fillId="7" borderId="26" xfId="5" applyNumberFormat="1" applyFont="1" applyFill="1" applyBorder="1" applyAlignment="1" applyProtection="1">
      <alignment vertical="center"/>
      <protection hidden="1"/>
    </xf>
    <xf numFmtId="170" fontId="14" fillId="2" borderId="25" xfId="5" applyNumberFormat="1" applyFont="1" applyFill="1" applyBorder="1" applyAlignment="1" applyProtection="1">
      <alignment vertical="center"/>
      <protection hidden="1"/>
    </xf>
    <xf numFmtId="6" fontId="13" fillId="7" borderId="25" xfId="5" applyNumberFormat="1" applyFont="1" applyFill="1" applyBorder="1" applyAlignment="1" applyProtection="1">
      <alignment vertical="center"/>
      <protection hidden="1"/>
    </xf>
    <xf numFmtId="6" fontId="13" fillId="7" borderId="26" xfId="5" applyNumberFormat="1" applyFont="1" applyFill="1" applyBorder="1" applyAlignment="1" applyProtection="1">
      <alignment vertical="center"/>
      <protection hidden="1"/>
    </xf>
    <xf numFmtId="0" fontId="13" fillId="6" borderId="31" xfId="0" applyFont="1" applyFill="1" applyBorder="1" applyAlignment="1">
      <alignment vertical="center"/>
    </xf>
    <xf numFmtId="0" fontId="13" fillId="7" borderId="31" xfId="0" applyFont="1" applyFill="1" applyBorder="1" applyAlignment="1">
      <alignment vertical="center"/>
    </xf>
    <xf numFmtId="0" fontId="13" fillId="2" borderId="31" xfId="0" applyFont="1" applyFill="1" applyBorder="1" applyAlignment="1">
      <alignment vertical="center"/>
    </xf>
    <xf numFmtId="0" fontId="13" fillId="2" borderId="31" xfId="0" quotePrefix="1" applyFont="1" applyFill="1" applyBorder="1" applyAlignment="1">
      <alignment vertical="center"/>
    </xf>
    <xf numFmtId="0" fontId="13" fillId="7" borderId="30" xfId="0" applyFont="1" applyFill="1" applyBorder="1" applyAlignment="1">
      <alignment horizontal="center" vertical="center"/>
    </xf>
    <xf numFmtId="170" fontId="14" fillId="2" borderId="33" xfId="5" applyNumberFormat="1" applyFont="1" applyFill="1" applyBorder="1" applyAlignment="1" applyProtection="1">
      <alignment vertical="center"/>
      <protection hidden="1"/>
    </xf>
    <xf numFmtId="170" fontId="14" fillId="2" borderId="18" xfId="5" applyNumberFormat="1" applyFont="1" applyFill="1" applyBorder="1" applyAlignment="1" applyProtection="1">
      <alignment vertical="center"/>
      <protection hidden="1"/>
    </xf>
    <xf numFmtId="170" fontId="14" fillId="2" borderId="34" xfId="5" applyNumberFormat="1" applyFont="1" applyFill="1" applyBorder="1" applyAlignment="1" applyProtection="1">
      <alignment vertical="center"/>
      <protection hidden="1"/>
    </xf>
    <xf numFmtId="170" fontId="14" fillId="5" borderId="33" xfId="5" applyNumberFormat="1" applyFont="1" applyFill="1" applyBorder="1" applyAlignment="1" applyProtection="1">
      <alignment vertical="center"/>
      <protection hidden="1"/>
    </xf>
    <xf numFmtId="168" fontId="13" fillId="2" borderId="35" xfId="5" applyNumberFormat="1" applyFont="1" applyFill="1" applyBorder="1" applyAlignment="1" applyProtection="1">
      <alignment horizontal="center" vertical="center"/>
      <protection hidden="1"/>
    </xf>
    <xf numFmtId="168" fontId="13" fillId="2" borderId="36" xfId="5" applyNumberFormat="1" applyFont="1" applyFill="1" applyBorder="1" applyAlignment="1" applyProtection="1">
      <alignment horizontal="center" vertical="center"/>
      <protection hidden="1"/>
    </xf>
    <xf numFmtId="168" fontId="13" fillId="2" borderId="37" xfId="5" applyNumberFormat="1" applyFont="1" applyFill="1" applyBorder="1" applyAlignment="1" applyProtection="1">
      <alignment horizontal="center" vertical="center"/>
      <protection hidden="1"/>
    </xf>
    <xf numFmtId="0" fontId="13" fillId="7" borderId="32" xfId="0" applyFont="1" applyFill="1" applyBorder="1" applyAlignment="1">
      <alignment vertical="center"/>
    </xf>
    <xf numFmtId="170" fontId="13" fillId="7" borderId="27" xfId="5" applyNumberFormat="1" applyFont="1" applyFill="1" applyBorder="1" applyAlignment="1" applyProtection="1">
      <alignment vertical="center"/>
      <protection hidden="1"/>
    </xf>
    <xf numFmtId="170" fontId="13" fillId="7" borderId="28" xfId="5" applyNumberFormat="1" applyFont="1" applyFill="1" applyBorder="1" applyAlignment="1" applyProtection="1">
      <alignment vertical="center"/>
      <protection hidden="1"/>
    </xf>
    <xf numFmtId="170" fontId="13" fillId="7" borderId="29" xfId="5" applyNumberFormat="1" applyFont="1" applyFill="1" applyBorder="1" applyAlignment="1" applyProtection="1">
      <alignment vertical="center"/>
      <protection hidden="1"/>
    </xf>
    <xf numFmtId="6" fontId="13" fillId="7" borderId="27" xfId="5" applyNumberFormat="1" applyFont="1" applyFill="1" applyBorder="1" applyAlignment="1" applyProtection="1">
      <alignment vertical="center"/>
      <protection hidden="1"/>
    </xf>
    <xf numFmtId="6" fontId="13" fillId="7" borderId="28" xfId="5" applyNumberFormat="1" applyFont="1" applyFill="1" applyBorder="1" applyAlignment="1" applyProtection="1">
      <alignment vertical="center"/>
      <protection hidden="1"/>
    </xf>
    <xf numFmtId="6" fontId="13" fillId="7" borderId="29" xfId="5" applyNumberFormat="1" applyFont="1" applyFill="1" applyBorder="1" applyAlignment="1" applyProtection="1">
      <alignment vertical="center"/>
      <protection hidden="1"/>
    </xf>
    <xf numFmtId="0" fontId="15" fillId="7" borderId="12" xfId="2" applyFont="1" applyFill="1" applyBorder="1" applyAlignment="1">
      <alignment horizontal="center"/>
    </xf>
    <xf numFmtId="0" fontId="13" fillId="7" borderId="15" xfId="2" applyFont="1" applyFill="1" applyBorder="1" applyAlignment="1">
      <alignment horizontal="center"/>
    </xf>
    <xf numFmtId="170" fontId="13" fillId="7" borderId="12" xfId="2" applyNumberFormat="1" applyFont="1" applyFill="1" applyBorder="1" applyAlignment="1">
      <alignment horizontal="center"/>
    </xf>
    <xf numFmtId="0" fontId="12" fillId="7" borderId="12" xfId="2" applyFont="1" applyFill="1" applyBorder="1" applyAlignment="1">
      <alignment horizontal="center"/>
    </xf>
    <xf numFmtId="0" fontId="13" fillId="7" borderId="12" xfId="0" applyFont="1" applyFill="1" applyBorder="1" applyAlignment="1">
      <alignment horizontal="center" vertical="center" wrapText="1"/>
    </xf>
    <xf numFmtId="10" fontId="13" fillId="7" borderId="12" xfId="0" applyNumberFormat="1" applyFont="1" applyFill="1" applyBorder="1" applyAlignment="1">
      <alignment horizontal="center" vertical="center" wrapText="1"/>
    </xf>
    <xf numFmtId="0" fontId="13" fillId="7" borderId="12" xfId="0" applyFont="1" applyFill="1" applyBorder="1" applyAlignment="1">
      <alignment vertical="top" wrapText="1"/>
    </xf>
    <xf numFmtId="0" fontId="14" fillId="7" borderId="12" xfId="0" applyFont="1" applyFill="1" applyBorder="1" applyAlignment="1">
      <alignment horizontal="center" vertical="center" wrapText="1"/>
    </xf>
    <xf numFmtId="3" fontId="22" fillId="2" borderId="12" xfId="0" applyNumberFormat="1" applyFont="1" applyFill="1" applyBorder="1" applyAlignment="1">
      <alignment horizontal="center"/>
    </xf>
    <xf numFmtId="10" fontId="22" fillId="2" borderId="12" xfId="1" applyNumberFormat="1" applyFont="1" applyFill="1" applyBorder="1" applyAlignment="1">
      <alignment horizontal="center"/>
    </xf>
    <xf numFmtId="0" fontId="20" fillId="7" borderId="12" xfId="0" applyFont="1" applyFill="1" applyBorder="1" applyAlignment="1">
      <alignment horizontal="center"/>
    </xf>
    <xf numFmtId="0" fontId="13" fillId="7" borderId="24" xfId="2" applyFont="1" applyFill="1" applyBorder="1" applyAlignment="1">
      <alignment horizontal="center"/>
    </xf>
    <xf numFmtId="0" fontId="12" fillId="7" borderId="12" xfId="0" applyFont="1" applyFill="1" applyBorder="1" applyAlignment="1">
      <alignment horizontal="center"/>
    </xf>
    <xf numFmtId="170" fontId="14" fillId="2" borderId="24" xfId="2" applyNumberFormat="1" applyFont="1" applyFill="1" applyBorder="1" applyProtection="1">
      <protection locked="0"/>
    </xf>
    <xf numFmtId="170" fontId="23" fillId="9" borderId="12" xfId="0" applyNumberFormat="1" applyFont="1" applyFill="1" applyBorder="1" applyAlignment="1">
      <alignment horizontal="center"/>
    </xf>
    <xf numFmtId="0" fontId="13" fillId="9" borderId="12" xfId="0" applyFont="1" applyFill="1" applyBorder="1" applyAlignment="1">
      <alignment vertical="top" wrapText="1"/>
    </xf>
    <xf numFmtId="0" fontId="14" fillId="7" borderId="12" xfId="0" applyFont="1" applyFill="1" applyBorder="1" applyAlignment="1">
      <alignment horizontal="center" vertical="top" wrapText="1"/>
    </xf>
    <xf numFmtId="3" fontId="13" fillId="7" borderId="12" xfId="0" applyNumberFormat="1" applyFont="1" applyFill="1" applyBorder="1" applyAlignment="1">
      <alignment horizontal="center" vertical="top" wrapText="1"/>
    </xf>
    <xf numFmtId="1" fontId="13" fillId="7" borderId="12" xfId="0" applyNumberFormat="1" applyFont="1" applyFill="1" applyBorder="1" applyAlignment="1">
      <alignment horizontal="center" vertical="top" wrapText="1"/>
    </xf>
    <xf numFmtId="0" fontId="13" fillId="7" borderId="12" xfId="0" applyFont="1" applyFill="1" applyBorder="1" applyAlignment="1">
      <alignment horizontal="center" vertical="top" wrapText="1"/>
    </xf>
    <xf numFmtId="42" fontId="14" fillId="9" borderId="12" xfId="10" applyFont="1" applyFill="1" applyBorder="1" applyAlignment="1">
      <alignment horizontal="right" vertical="top" wrapText="1"/>
    </xf>
    <xf numFmtId="42" fontId="13" fillId="7" borderId="12" xfId="10" applyFont="1" applyFill="1" applyBorder="1" applyAlignment="1">
      <alignment horizontal="right" vertical="top" wrapText="1"/>
    </xf>
    <xf numFmtId="168" fontId="13" fillId="7" borderId="12" xfId="5" applyNumberFormat="1" applyFont="1" applyFill="1" applyBorder="1" applyAlignment="1" applyProtection="1">
      <alignment horizontal="center" vertical="center"/>
      <protection hidden="1"/>
    </xf>
    <xf numFmtId="169" fontId="10" fillId="2" borderId="0" xfId="0" applyNumberFormat="1" applyFont="1" applyFill="1"/>
    <xf numFmtId="6" fontId="14" fillId="2" borderId="12" xfId="0" applyNumberFormat="1" applyFont="1" applyFill="1" applyBorder="1"/>
    <xf numFmtId="6" fontId="20" fillId="7" borderId="12" xfId="0" applyNumberFormat="1" applyFont="1" applyFill="1" applyBorder="1"/>
    <xf numFmtId="6" fontId="14" fillId="2" borderId="12" xfId="2" applyNumberFormat="1" applyFont="1" applyFill="1" applyBorder="1" applyProtection="1">
      <protection locked="0"/>
    </xf>
    <xf numFmtId="42" fontId="13" fillId="7" borderId="12" xfId="2" applyNumberFormat="1" applyFont="1" applyFill="1" applyBorder="1" applyAlignment="1">
      <alignment horizontal="center"/>
    </xf>
    <xf numFmtId="42" fontId="14" fillId="2" borderId="12" xfId="2" applyNumberFormat="1" applyFont="1" applyFill="1" applyBorder="1" applyProtection="1">
      <protection locked="0"/>
    </xf>
    <xf numFmtId="0" fontId="13" fillId="7" borderId="12" xfId="2" applyFont="1" applyFill="1" applyBorder="1" applyAlignment="1">
      <alignment horizontal="left" indent="1"/>
    </xf>
    <xf numFmtId="0" fontId="20" fillId="7" borderId="12" xfId="2" applyFont="1" applyFill="1" applyBorder="1" applyAlignment="1">
      <alignment horizontal="left" indent="1"/>
    </xf>
    <xf numFmtId="42" fontId="20" fillId="7" borderId="12" xfId="2" applyNumberFormat="1" applyFont="1" applyFill="1" applyBorder="1" applyProtection="1">
      <protection locked="0"/>
    </xf>
    <xf numFmtId="0" fontId="14" fillId="0" borderId="12" xfId="2" applyFont="1" applyBorder="1" applyAlignment="1">
      <alignment horizontal="left" indent="1"/>
    </xf>
    <xf numFmtId="0" fontId="14" fillId="0" borderId="12" xfId="2" applyFont="1" applyBorder="1" applyAlignment="1">
      <alignment horizontal="left" wrapText="1" indent="1"/>
    </xf>
    <xf numFmtId="0" fontId="14" fillId="2" borderId="12" xfId="2" applyFont="1" applyFill="1" applyBorder="1" applyAlignment="1">
      <alignment horizontal="left" indent="1"/>
    </xf>
    <xf numFmtId="0" fontId="20" fillId="2" borderId="12" xfId="2" applyFont="1" applyFill="1" applyBorder="1" applyAlignment="1">
      <alignment horizontal="left" indent="1"/>
    </xf>
    <xf numFmtId="42" fontId="14" fillId="2" borderId="15" xfId="2" applyNumberFormat="1" applyFont="1" applyFill="1" applyBorder="1" applyProtection="1">
      <protection locked="0"/>
    </xf>
    <xf numFmtId="42" fontId="20" fillId="7" borderId="39" xfId="2" applyNumberFormat="1" applyFont="1" applyFill="1" applyBorder="1" applyAlignment="1" applyProtection="1">
      <alignment horizontal="center" vertical="center"/>
      <protection locked="0"/>
    </xf>
    <xf numFmtId="170" fontId="14" fillId="9" borderId="12" xfId="5" applyNumberFormat="1" applyFont="1" applyFill="1" applyBorder="1" applyAlignment="1" applyProtection="1">
      <protection hidden="1"/>
    </xf>
    <xf numFmtId="170" fontId="14" fillId="9" borderId="18" xfId="5" applyNumberFormat="1" applyFont="1" applyFill="1" applyBorder="1" applyAlignment="1" applyProtection="1">
      <protection hidden="1"/>
    </xf>
    <xf numFmtId="170" fontId="13" fillId="11" borderId="17" xfId="5" applyNumberFormat="1" applyFont="1" applyFill="1" applyBorder="1" applyAlignment="1" applyProtection="1">
      <protection hidden="1"/>
    </xf>
    <xf numFmtId="0" fontId="10" fillId="2" borderId="0" xfId="0" applyFont="1" applyFill="1" applyAlignment="1">
      <alignment horizontal="left" indent="1"/>
    </xf>
    <xf numFmtId="0" fontId="10" fillId="0" borderId="0" xfId="0" applyFont="1"/>
    <xf numFmtId="0" fontId="22" fillId="13" borderId="40" xfId="0" applyFont="1" applyFill="1" applyBorder="1" applyAlignment="1">
      <alignment horizontal="center" vertical="center"/>
    </xf>
    <xf numFmtId="170" fontId="13" fillId="13" borderId="19" xfId="5" applyNumberFormat="1" applyFont="1" applyFill="1" applyBorder="1" applyAlignment="1" applyProtection="1">
      <protection hidden="1"/>
    </xf>
    <xf numFmtId="170" fontId="13" fillId="9" borderId="12" xfId="5" applyNumberFormat="1" applyFont="1" applyFill="1" applyBorder="1" applyAlignment="1" applyProtection="1">
      <protection hidden="1"/>
    </xf>
    <xf numFmtId="0" fontId="26" fillId="2" borderId="0" xfId="0" applyFont="1" applyFill="1"/>
    <xf numFmtId="0" fontId="28" fillId="2" borderId="23" xfId="2" applyFont="1" applyFill="1" applyBorder="1" applyAlignment="1">
      <alignment horizontal="left" indent="1"/>
    </xf>
    <xf numFmtId="170" fontId="20" fillId="14" borderId="18" xfId="2" applyNumberFormat="1" applyFont="1" applyFill="1" applyBorder="1" applyProtection="1">
      <protection locked="0"/>
    </xf>
    <xf numFmtId="170" fontId="27" fillId="15" borderId="5" xfId="2" applyNumberFormat="1" applyFont="1" applyFill="1" applyBorder="1" applyProtection="1">
      <protection locked="0"/>
    </xf>
    <xf numFmtId="42" fontId="29" fillId="2" borderId="12" xfId="2" applyNumberFormat="1" applyFont="1" applyFill="1" applyBorder="1" applyAlignment="1">
      <alignment horizontal="center"/>
    </xf>
    <xf numFmtId="42" fontId="29" fillId="0" borderId="12" xfId="2" applyNumberFormat="1" applyFont="1" applyBorder="1" applyProtection="1">
      <protection locked="0"/>
    </xf>
    <xf numFmtId="42" fontId="29" fillId="2" borderId="12" xfId="2" applyNumberFormat="1" applyFont="1" applyFill="1" applyBorder="1" applyProtection="1">
      <protection locked="0"/>
    </xf>
    <xf numFmtId="169" fontId="20" fillId="7" borderId="24" xfId="2" applyNumberFormat="1" applyFont="1" applyFill="1" applyBorder="1" applyProtection="1">
      <protection locked="0"/>
    </xf>
    <xf numFmtId="170" fontId="14" fillId="10" borderId="25" xfId="5" applyNumberFormat="1" applyFont="1" applyFill="1" applyBorder="1" applyAlignment="1" applyProtection="1">
      <alignment vertical="center"/>
      <protection hidden="1"/>
    </xf>
    <xf numFmtId="170" fontId="14" fillId="10" borderId="12" xfId="5" applyNumberFormat="1" applyFont="1" applyFill="1" applyBorder="1" applyAlignment="1" applyProtection="1">
      <alignment vertical="center"/>
      <protection hidden="1"/>
    </xf>
    <xf numFmtId="170" fontId="14" fillId="10" borderId="26" xfId="5" applyNumberFormat="1" applyFont="1" applyFill="1" applyBorder="1" applyAlignment="1" applyProtection="1">
      <alignment vertical="center"/>
      <protection hidden="1"/>
    </xf>
    <xf numFmtId="42" fontId="13" fillId="12" borderId="12" xfId="10" applyFont="1" applyFill="1" applyBorder="1" applyAlignment="1">
      <alignment horizontal="right" vertical="top" wrapText="1"/>
    </xf>
    <xf numFmtId="42" fontId="14" fillId="2" borderId="12" xfId="0" applyNumberFormat="1" applyFont="1" applyFill="1" applyBorder="1" applyAlignment="1">
      <alignment horizontal="right" vertical="top" wrapText="1"/>
    </xf>
    <xf numFmtId="42" fontId="13" fillId="7" borderId="12" xfId="0" applyNumberFormat="1" applyFont="1" applyFill="1" applyBorder="1" applyAlignment="1">
      <alignment horizontal="right" vertical="top" wrapText="1"/>
    </xf>
    <xf numFmtId="42" fontId="13" fillId="5" borderId="12" xfId="0" applyNumberFormat="1" applyFont="1" applyFill="1" applyBorder="1" applyAlignment="1">
      <alignment horizontal="right" vertical="top" wrapText="1"/>
    </xf>
    <xf numFmtId="172" fontId="14" fillId="2" borderId="12" xfId="11" applyNumberFormat="1" applyFont="1" applyFill="1" applyBorder="1" applyAlignment="1" applyProtection="1">
      <alignment vertical="center"/>
      <protection hidden="1"/>
    </xf>
    <xf numFmtId="0" fontId="10" fillId="10" borderId="23" xfId="0" applyFont="1" applyFill="1" applyBorder="1"/>
    <xf numFmtId="0" fontId="10" fillId="10" borderId="38" xfId="0" applyFont="1" applyFill="1" applyBorder="1"/>
    <xf numFmtId="0" fontId="10" fillId="10" borderId="24" xfId="0" applyFont="1" applyFill="1" applyBorder="1"/>
    <xf numFmtId="0" fontId="20" fillId="7" borderId="13" xfId="2" applyFont="1" applyFill="1" applyBorder="1" applyAlignment="1">
      <alignment vertical="center"/>
    </xf>
    <xf numFmtId="0" fontId="15" fillId="7" borderId="15" xfId="2" applyFont="1" applyFill="1" applyBorder="1" applyAlignment="1">
      <alignment vertical="center"/>
    </xf>
    <xf numFmtId="9" fontId="10" fillId="2" borderId="0" xfId="0" applyNumberFormat="1" applyFont="1" applyFill="1"/>
    <xf numFmtId="9" fontId="31" fillId="2" borderId="0" xfId="1" applyFont="1" applyFill="1"/>
    <xf numFmtId="9" fontId="31" fillId="2" borderId="0" xfId="0" applyNumberFormat="1" applyFont="1" applyFill="1"/>
    <xf numFmtId="168" fontId="13" fillId="2" borderId="9" xfId="5" applyNumberFormat="1" applyFont="1" applyFill="1" applyBorder="1" applyAlignment="1" applyProtection="1">
      <alignment horizontal="center" vertical="center"/>
      <protection hidden="1"/>
    </xf>
    <xf numFmtId="170" fontId="14" fillId="2" borderId="41" xfId="5" applyNumberFormat="1" applyFont="1" applyFill="1" applyBorder="1" applyAlignment="1" applyProtection="1">
      <alignment vertical="center"/>
      <protection hidden="1"/>
    </xf>
    <xf numFmtId="170" fontId="14" fillId="2" borderId="38" xfId="5" applyNumberFormat="1" applyFont="1" applyFill="1" applyBorder="1" applyAlignment="1" applyProtection="1">
      <alignment vertical="center"/>
      <protection hidden="1"/>
    </xf>
    <xf numFmtId="170" fontId="13" fillId="7" borderId="38" xfId="5" applyNumberFormat="1" applyFont="1" applyFill="1" applyBorder="1" applyAlignment="1" applyProtection="1">
      <alignment vertical="center"/>
      <protection hidden="1"/>
    </xf>
    <xf numFmtId="170" fontId="13" fillId="7" borderId="42" xfId="5" applyNumberFormat="1" applyFont="1" applyFill="1" applyBorder="1" applyAlignment="1" applyProtection="1">
      <alignment vertical="center"/>
      <protection hidden="1"/>
    </xf>
    <xf numFmtId="0" fontId="10" fillId="2" borderId="8" xfId="0" applyFont="1" applyFill="1" applyBorder="1"/>
    <xf numFmtId="6" fontId="10" fillId="2" borderId="8" xfId="0" applyNumberFormat="1" applyFont="1" applyFill="1" applyBorder="1"/>
    <xf numFmtId="9" fontId="10" fillId="2" borderId="0" xfId="0" applyNumberFormat="1" applyFont="1" applyFill="1" applyAlignment="1">
      <alignment horizontal="left"/>
    </xf>
    <xf numFmtId="8" fontId="10" fillId="2" borderId="0" xfId="0" applyNumberFormat="1" applyFont="1" applyFill="1"/>
    <xf numFmtId="9" fontId="31" fillId="2" borderId="0" xfId="0" applyNumberFormat="1" applyFont="1" applyFill="1" applyAlignment="1">
      <alignment vertical="center"/>
    </xf>
    <xf numFmtId="0" fontId="0" fillId="2" borderId="0" xfId="0" applyFill="1"/>
    <xf numFmtId="0" fontId="0" fillId="2" borderId="0" xfId="0" applyFill="1" applyAlignment="1">
      <alignment horizontal="center"/>
    </xf>
    <xf numFmtId="0" fontId="0" fillId="2" borderId="44" xfId="0" applyFill="1" applyBorder="1"/>
    <xf numFmtId="0" fontId="0" fillId="2" borderId="45" xfId="0" applyFill="1" applyBorder="1"/>
    <xf numFmtId="0" fontId="0" fillId="2" borderId="46" xfId="0" applyFill="1" applyBorder="1"/>
    <xf numFmtId="0" fontId="0" fillId="2" borderId="47" xfId="0" applyFill="1" applyBorder="1"/>
    <xf numFmtId="0" fontId="0" fillId="2" borderId="48" xfId="0" applyFill="1" applyBorder="1"/>
    <xf numFmtId="0" fontId="0" fillId="2" borderId="49" xfId="0" applyFill="1" applyBorder="1"/>
    <xf numFmtId="0" fontId="0" fillId="2" borderId="50" xfId="0" applyFill="1" applyBorder="1"/>
    <xf numFmtId="0" fontId="0" fillId="2" borderId="51" xfId="0" applyFill="1" applyBorder="1"/>
    <xf numFmtId="0" fontId="0" fillId="2" borderId="47" xfId="0" applyFill="1" applyBorder="1" applyAlignment="1">
      <alignment horizontal="center" vertical="center"/>
    </xf>
    <xf numFmtId="0" fontId="0" fillId="2" borderId="0" xfId="0" applyFill="1" applyAlignment="1">
      <alignment horizontal="center" vertical="center" wrapText="1"/>
    </xf>
    <xf numFmtId="0" fontId="0" fillId="2" borderId="48" xfId="0" applyFill="1" applyBorder="1" applyAlignment="1">
      <alignment horizontal="center" vertical="center" wrapText="1"/>
    </xf>
    <xf numFmtId="0" fontId="0" fillId="16" borderId="0" xfId="0" applyFill="1"/>
    <xf numFmtId="0" fontId="10" fillId="2" borderId="0" xfId="0" applyFont="1" applyFill="1" applyAlignment="1">
      <alignment horizontal="center" vertical="center"/>
    </xf>
    <xf numFmtId="173" fontId="33" fillId="2" borderId="8" xfId="12" applyNumberFormat="1" applyFont="1" applyFill="1" applyBorder="1"/>
    <xf numFmtId="170" fontId="13" fillId="2" borderId="12" xfId="0" applyNumberFormat="1" applyFont="1" applyFill="1" applyBorder="1" applyProtection="1">
      <protection locked="0"/>
    </xf>
    <xf numFmtId="3" fontId="14" fillId="2" borderId="12" xfId="0" applyNumberFormat="1" applyFont="1" applyFill="1" applyBorder="1" applyAlignment="1">
      <alignment horizontal="right" vertical="top" wrapText="1"/>
    </xf>
    <xf numFmtId="3" fontId="13" fillId="7" borderId="12" xfId="0" applyNumberFormat="1" applyFont="1" applyFill="1" applyBorder="1" applyAlignment="1">
      <alignment horizontal="right" vertical="top" wrapText="1"/>
    </xf>
    <xf numFmtId="3" fontId="13" fillId="8" borderId="12" xfId="0" applyNumberFormat="1" applyFont="1" applyFill="1" applyBorder="1" applyAlignment="1">
      <alignment horizontal="right" vertical="top" wrapText="1"/>
    </xf>
    <xf numFmtId="3" fontId="13" fillId="2" borderId="12" xfId="0" applyNumberFormat="1" applyFont="1" applyFill="1" applyBorder="1" applyAlignment="1">
      <alignment horizontal="right" vertical="top" wrapText="1"/>
    </xf>
    <xf numFmtId="169" fontId="12" fillId="2" borderId="12" xfId="0" applyNumberFormat="1" applyFont="1" applyFill="1" applyBorder="1" applyAlignment="1">
      <alignment horizontal="right"/>
    </xf>
    <xf numFmtId="169" fontId="12" fillId="2" borderId="12" xfId="0" applyNumberFormat="1" applyFont="1" applyFill="1" applyBorder="1" applyAlignment="1">
      <alignment horizontal="center"/>
    </xf>
    <xf numFmtId="174" fontId="13" fillId="13" borderId="19" xfId="5" applyNumberFormat="1" applyFont="1" applyFill="1" applyBorder="1" applyAlignment="1" applyProtection="1">
      <protection hidden="1"/>
    </xf>
    <xf numFmtId="173" fontId="10" fillId="2" borderId="0" xfId="12" applyNumberFormat="1" applyFont="1" applyFill="1"/>
    <xf numFmtId="0" fontId="34" fillId="2" borderId="0" xfId="0" applyFont="1" applyFill="1" applyAlignment="1">
      <alignment horizontal="center" vertical="center"/>
    </xf>
    <xf numFmtId="0" fontId="12" fillId="2" borderId="0" xfId="0" applyFont="1" applyFill="1" applyAlignment="1">
      <alignment wrapText="1"/>
    </xf>
    <xf numFmtId="173" fontId="14" fillId="2" borderId="12" xfId="12" applyNumberFormat="1" applyFont="1" applyFill="1" applyBorder="1" applyAlignment="1" applyProtection="1">
      <alignment horizontal="center" vertical="center" wrapText="1"/>
    </xf>
    <xf numFmtId="173" fontId="10" fillId="2" borderId="0" xfId="0" applyNumberFormat="1" applyFont="1" applyFill="1"/>
    <xf numFmtId="173" fontId="0" fillId="16" borderId="7" xfId="12" applyNumberFormat="1" applyFont="1" applyFill="1" applyBorder="1" applyAlignment="1">
      <alignment vertical="center" wrapText="1"/>
    </xf>
    <xf numFmtId="173" fontId="0" fillId="16" borderId="6" xfId="12" applyNumberFormat="1" applyFont="1" applyFill="1" applyBorder="1" applyAlignment="1">
      <alignment vertical="center" wrapText="1"/>
    </xf>
    <xf numFmtId="173" fontId="0" fillId="16" borderId="48" xfId="12" applyNumberFormat="1" applyFont="1" applyFill="1" applyBorder="1" applyAlignment="1">
      <alignment vertical="center" wrapText="1"/>
    </xf>
    <xf numFmtId="173" fontId="0" fillId="16" borderId="51" xfId="12" applyNumberFormat="1" applyFont="1" applyFill="1" applyBorder="1" applyAlignment="1">
      <alignment vertical="center" wrapText="1"/>
    </xf>
    <xf numFmtId="0" fontId="0" fillId="16" borderId="46" xfId="0" applyFill="1" applyBorder="1"/>
    <xf numFmtId="0" fontId="0" fillId="16" borderId="43" xfId="0" applyFill="1" applyBorder="1"/>
    <xf numFmtId="0" fontId="0" fillId="16" borderId="43" xfId="0" applyFill="1" applyBorder="1" applyAlignment="1">
      <alignment wrapText="1"/>
    </xf>
    <xf numFmtId="0" fontId="0" fillId="16" borderId="7" xfId="0" applyFill="1" applyBorder="1" applyAlignment="1">
      <alignment wrapText="1"/>
    </xf>
    <xf numFmtId="0" fontId="0" fillId="16" borderId="6" xfId="0" applyFill="1" applyBorder="1" applyAlignment="1">
      <alignment wrapText="1"/>
    </xf>
    <xf numFmtId="9" fontId="0" fillId="17" borderId="43" xfId="1" applyFont="1" applyFill="1" applyBorder="1" applyAlignment="1">
      <alignment vertical="center" wrapText="1"/>
    </xf>
    <xf numFmtId="9" fontId="0" fillId="17" borderId="7" xfId="1" applyFont="1" applyFill="1" applyBorder="1" applyAlignment="1">
      <alignment vertical="center" wrapText="1"/>
    </xf>
    <xf numFmtId="9" fontId="0" fillId="17" borderId="6" xfId="1" applyFont="1" applyFill="1" applyBorder="1" applyAlignment="1">
      <alignment vertical="center" wrapText="1"/>
    </xf>
    <xf numFmtId="0" fontId="0" fillId="18" borderId="7" xfId="0" applyFill="1" applyBorder="1" applyAlignment="1">
      <alignment vertical="center" wrapText="1"/>
    </xf>
    <xf numFmtId="0" fontId="0" fillId="18" borderId="6" xfId="0" applyFill="1" applyBorder="1" applyAlignment="1">
      <alignment vertical="center" wrapText="1"/>
    </xf>
    <xf numFmtId="0" fontId="0" fillId="17" borderId="43" xfId="0" applyFill="1" applyBorder="1" applyAlignment="1">
      <alignment wrapText="1"/>
    </xf>
    <xf numFmtId="0" fontId="0" fillId="17" borderId="7" xfId="0" applyFill="1" applyBorder="1" applyAlignment="1">
      <alignment wrapText="1"/>
    </xf>
    <xf numFmtId="0" fontId="0" fillId="17" borderId="6" xfId="0" applyFill="1" applyBorder="1" applyAlignment="1">
      <alignment wrapText="1"/>
    </xf>
    <xf numFmtId="175" fontId="0" fillId="18" borderId="7" xfId="12" applyNumberFormat="1" applyFont="1" applyFill="1" applyBorder="1" applyAlignment="1">
      <alignment vertical="center" wrapText="1"/>
    </xf>
    <xf numFmtId="0" fontId="0" fillId="18" borderId="43" xfId="0" applyFill="1" applyBorder="1" applyAlignment="1">
      <alignment wrapText="1"/>
    </xf>
    <xf numFmtId="0" fontId="0" fillId="18" borderId="7" xfId="0" applyFill="1" applyBorder="1" applyAlignment="1">
      <alignment wrapText="1"/>
    </xf>
    <xf numFmtId="0" fontId="0" fillId="18" borderId="6" xfId="0" applyFill="1" applyBorder="1" applyAlignment="1">
      <alignment wrapText="1"/>
    </xf>
    <xf numFmtId="166" fontId="0" fillId="19" borderId="43" xfId="1" applyNumberFormat="1" applyFont="1" applyFill="1" applyBorder="1" applyAlignment="1">
      <alignment vertical="center" wrapText="1"/>
    </xf>
    <xf numFmtId="166" fontId="0" fillId="19" borderId="7" xfId="1" applyNumberFormat="1" applyFont="1" applyFill="1" applyBorder="1" applyAlignment="1">
      <alignment vertical="center" wrapText="1"/>
    </xf>
    <xf numFmtId="166" fontId="0" fillId="19" borderId="6" xfId="1" applyNumberFormat="1" applyFont="1" applyFill="1" applyBorder="1" applyAlignment="1">
      <alignment vertical="center" wrapText="1"/>
    </xf>
    <xf numFmtId="0" fontId="0" fillId="19" borderId="43" xfId="0" applyFill="1" applyBorder="1" applyAlignment="1">
      <alignment wrapText="1"/>
    </xf>
    <xf numFmtId="0" fontId="0" fillId="19" borderId="7" xfId="0" applyFill="1" applyBorder="1" applyAlignment="1">
      <alignment wrapText="1"/>
    </xf>
    <xf numFmtId="0" fontId="0" fillId="19" borderId="6" xfId="0" applyFill="1" applyBorder="1" applyAlignment="1">
      <alignment wrapText="1"/>
    </xf>
    <xf numFmtId="9" fontId="0" fillId="19" borderId="43" xfId="1" applyFont="1" applyFill="1" applyBorder="1" applyAlignment="1">
      <alignment vertical="center" wrapText="1"/>
    </xf>
    <xf numFmtId="9" fontId="0" fillId="19" borderId="6" xfId="1" applyFont="1" applyFill="1" applyBorder="1" applyAlignment="1">
      <alignment vertical="center" wrapText="1"/>
    </xf>
    <xf numFmtId="0" fontId="0" fillId="2" borderId="49" xfId="0" applyFill="1" applyBorder="1" applyAlignment="1">
      <alignment horizontal="center" vertical="center"/>
    </xf>
    <xf numFmtId="0" fontId="0" fillId="2" borderId="47" xfId="0" applyFill="1" applyBorder="1" applyAlignment="1">
      <alignment horizontal="center" vertical="center" wrapText="1"/>
    </xf>
    <xf numFmtId="0" fontId="0" fillId="2" borderId="49" xfId="0" applyFill="1" applyBorder="1" applyAlignment="1">
      <alignment horizontal="center" vertical="center" wrapText="1"/>
    </xf>
    <xf numFmtId="0" fontId="0" fillId="2" borderId="50" xfId="0" applyFill="1" applyBorder="1" applyAlignment="1">
      <alignment horizontal="center" vertical="center" wrapText="1"/>
    </xf>
    <xf numFmtId="0" fontId="0" fillId="2" borderId="51" xfId="0" applyFill="1" applyBorder="1" applyAlignment="1">
      <alignment horizontal="center" vertical="center" wrapText="1"/>
    </xf>
    <xf numFmtId="170" fontId="14" fillId="24" borderId="12" xfId="5" applyNumberFormat="1" applyFont="1" applyFill="1" applyBorder="1" applyAlignment="1" applyProtection="1">
      <protection hidden="1"/>
    </xf>
    <xf numFmtId="0" fontId="42" fillId="2" borderId="0" xfId="0" applyFont="1" applyFill="1"/>
    <xf numFmtId="0" fontId="43" fillId="2" borderId="0" xfId="0" applyFont="1" applyFill="1"/>
    <xf numFmtId="0" fontId="44" fillId="2" borderId="0" xfId="0" applyFont="1" applyFill="1"/>
    <xf numFmtId="0" fontId="42" fillId="2" borderId="0" xfId="0" applyFont="1" applyFill="1" applyAlignment="1">
      <alignment vertical="center"/>
    </xf>
    <xf numFmtId="0" fontId="35" fillId="2" borderId="0" xfId="0" applyFont="1" applyFill="1" applyAlignment="1">
      <alignment horizontal="left"/>
    </xf>
    <xf numFmtId="0" fontId="37" fillId="25" borderId="1" xfId="0" applyFont="1" applyFill="1" applyBorder="1" applyAlignment="1">
      <alignment horizontal="left" vertical="center" wrapText="1"/>
    </xf>
    <xf numFmtId="0" fontId="37" fillId="25" borderId="9" xfId="0" applyFont="1" applyFill="1" applyBorder="1" applyAlignment="1">
      <alignment horizontal="left" vertical="center" wrapText="1"/>
    </xf>
    <xf numFmtId="0" fontId="37" fillId="25" borderId="2" xfId="0" applyFont="1" applyFill="1" applyBorder="1" applyAlignment="1">
      <alignment horizontal="left" vertical="center" wrapText="1"/>
    </xf>
    <xf numFmtId="0" fontId="0" fillId="2" borderId="1" xfId="0" applyFill="1" applyBorder="1" applyAlignment="1">
      <alignment horizontal="center"/>
    </xf>
    <xf numFmtId="0" fontId="0" fillId="2" borderId="9" xfId="0" applyFill="1" applyBorder="1" applyAlignment="1">
      <alignment horizontal="center"/>
    </xf>
    <xf numFmtId="0" fontId="0" fillId="2" borderId="2" xfId="0" applyFill="1" applyBorder="1" applyAlignment="1">
      <alignment horizontal="center"/>
    </xf>
    <xf numFmtId="0" fontId="36" fillId="2" borderId="0" xfId="0" applyFont="1" applyFill="1" applyAlignment="1">
      <alignment horizontal="center" vertical="center"/>
    </xf>
    <xf numFmtId="0" fontId="41" fillId="26" borderId="1" xfId="0" applyFont="1" applyFill="1" applyBorder="1" applyAlignment="1">
      <alignment horizontal="left" vertical="center" wrapText="1"/>
    </xf>
    <xf numFmtId="0" fontId="41" fillId="26" borderId="9" xfId="0" applyFont="1" applyFill="1" applyBorder="1" applyAlignment="1">
      <alignment horizontal="left" vertical="center" wrapText="1"/>
    </xf>
    <xf numFmtId="0" fontId="41" fillId="26" borderId="2" xfId="0" applyFont="1" applyFill="1" applyBorder="1" applyAlignment="1">
      <alignment horizontal="left" vertical="center" wrapText="1"/>
    </xf>
    <xf numFmtId="0" fontId="35" fillId="2" borderId="0" xfId="0" applyFont="1" applyFill="1" applyAlignment="1">
      <alignment horizontal="left" wrapText="1"/>
    </xf>
    <xf numFmtId="0" fontId="40" fillId="26" borderId="1" xfId="0" applyFont="1" applyFill="1" applyBorder="1" applyAlignment="1">
      <alignment horizontal="left" vertical="center" wrapText="1"/>
    </xf>
    <xf numFmtId="0" fontId="40" fillId="26" borderId="9" xfId="0" applyFont="1" applyFill="1" applyBorder="1" applyAlignment="1">
      <alignment horizontal="left" vertical="center" wrapText="1"/>
    </xf>
    <xf numFmtId="0" fontId="40" fillId="26" borderId="2" xfId="0" applyFont="1" applyFill="1" applyBorder="1" applyAlignment="1">
      <alignment horizontal="left" vertical="center" wrapText="1"/>
    </xf>
    <xf numFmtId="0" fontId="40" fillId="26" borderId="1" xfId="0" applyFont="1" applyFill="1" applyBorder="1" applyAlignment="1">
      <alignment horizontal="left" wrapText="1"/>
    </xf>
    <xf numFmtId="0" fontId="40" fillId="26" borderId="9" xfId="0" applyFont="1" applyFill="1" applyBorder="1" applyAlignment="1">
      <alignment horizontal="left" wrapText="1"/>
    </xf>
    <xf numFmtId="0" fontId="40" fillId="26" borderId="2" xfId="0" applyFont="1" applyFill="1" applyBorder="1" applyAlignment="1">
      <alignment horizontal="left" wrapText="1"/>
    </xf>
    <xf numFmtId="0" fontId="13" fillId="7" borderId="23" xfId="2" applyFont="1" applyFill="1" applyBorder="1" applyAlignment="1">
      <alignment horizontal="center"/>
    </xf>
    <xf numFmtId="0" fontId="13" fillId="7" borderId="38" xfId="2" applyFont="1" applyFill="1" applyBorder="1" applyAlignment="1">
      <alignment horizontal="center"/>
    </xf>
    <xf numFmtId="0" fontId="13" fillId="7" borderId="24" xfId="2" applyFont="1" applyFill="1" applyBorder="1" applyAlignment="1">
      <alignment horizontal="center"/>
    </xf>
    <xf numFmtId="0" fontId="11" fillId="2" borderId="12" xfId="0" applyFont="1" applyFill="1" applyBorder="1" applyAlignment="1">
      <alignment horizontal="center"/>
    </xf>
    <xf numFmtId="0" fontId="12" fillId="3" borderId="16" xfId="0" applyFont="1" applyFill="1" applyBorder="1" applyAlignment="1">
      <alignment horizontal="center"/>
    </xf>
    <xf numFmtId="0" fontId="12" fillId="3" borderId="0" xfId="0" applyFont="1" applyFill="1" applyAlignment="1">
      <alignment horizontal="center"/>
    </xf>
    <xf numFmtId="0" fontId="13" fillId="10" borderId="15" xfId="0" applyFont="1" applyFill="1" applyBorder="1" applyAlignment="1">
      <alignment horizontal="center" vertical="center"/>
    </xf>
    <xf numFmtId="0" fontId="13" fillId="10" borderId="18" xfId="0" applyFont="1" applyFill="1" applyBorder="1" applyAlignment="1">
      <alignment horizontal="center" vertical="center"/>
    </xf>
    <xf numFmtId="0" fontId="14" fillId="2" borderId="16" xfId="0" applyFont="1" applyFill="1" applyBorder="1" applyAlignment="1">
      <alignment horizontal="center" wrapText="1"/>
    </xf>
    <xf numFmtId="0" fontId="14" fillId="2" borderId="0" xfId="0" applyFont="1" applyFill="1" applyAlignment="1">
      <alignment horizontal="center" wrapText="1"/>
    </xf>
    <xf numFmtId="0" fontId="15" fillId="7" borderId="12" xfId="0" applyFont="1" applyFill="1" applyBorder="1" applyAlignment="1">
      <alignment horizontal="center"/>
    </xf>
    <xf numFmtId="0" fontId="13" fillId="10" borderId="13" xfId="0" applyFont="1" applyFill="1" applyBorder="1" applyAlignment="1">
      <alignment horizontal="center" vertical="center"/>
    </xf>
    <xf numFmtId="0" fontId="13" fillId="10" borderId="14" xfId="0" applyFont="1" applyFill="1" applyBorder="1" applyAlignment="1">
      <alignment horizontal="center" vertical="center"/>
    </xf>
    <xf numFmtId="0" fontId="12" fillId="9" borderId="23" xfId="0" applyFont="1" applyFill="1" applyBorder="1" applyAlignment="1">
      <alignment horizontal="left" indent="2"/>
    </xf>
    <xf numFmtId="0" fontId="12" fillId="9" borderId="24" xfId="0" applyFont="1" applyFill="1" applyBorder="1" applyAlignment="1">
      <alignment horizontal="left" indent="2"/>
    </xf>
    <xf numFmtId="0" fontId="15" fillId="7" borderId="12" xfId="2" applyFont="1" applyFill="1" applyBorder="1" applyAlignment="1">
      <alignment horizontal="center" vertical="center"/>
    </xf>
    <xf numFmtId="0" fontId="15" fillId="2" borderId="12" xfId="2" applyFont="1" applyFill="1" applyBorder="1" applyAlignment="1">
      <alignment horizontal="center" vertical="center"/>
    </xf>
    <xf numFmtId="0" fontId="15" fillId="2" borderId="0" xfId="2" applyFont="1" applyFill="1" applyAlignment="1">
      <alignment horizontal="center"/>
    </xf>
    <xf numFmtId="0" fontId="13" fillId="2" borderId="12" xfId="0" applyFont="1" applyFill="1" applyBorder="1" applyAlignment="1">
      <alignment horizontal="center"/>
    </xf>
    <xf numFmtId="0" fontId="13" fillId="9" borderId="12" xfId="0" applyFont="1" applyFill="1" applyBorder="1" applyAlignment="1">
      <alignment horizontal="center" vertical="center" wrapText="1"/>
    </xf>
    <xf numFmtId="0" fontId="15" fillId="7" borderId="12" xfId="2" applyFont="1" applyFill="1" applyBorder="1" applyAlignment="1">
      <alignment horizontal="center"/>
    </xf>
    <xf numFmtId="0" fontId="12" fillId="9" borderId="12" xfId="2" applyFont="1" applyFill="1" applyBorder="1" applyAlignment="1">
      <alignment horizontal="center" vertical="center"/>
    </xf>
    <xf numFmtId="0" fontId="11" fillId="2" borderId="20" xfId="0" applyFont="1" applyFill="1" applyBorder="1" applyAlignment="1">
      <alignment horizontal="center"/>
    </xf>
    <xf numFmtId="0" fontId="11" fillId="2" borderId="21" xfId="0" applyFont="1" applyFill="1" applyBorder="1" applyAlignment="1">
      <alignment horizontal="center"/>
    </xf>
    <xf numFmtId="0" fontId="11" fillId="2" borderId="22" xfId="0" applyFont="1" applyFill="1" applyBorder="1" applyAlignment="1">
      <alignment horizontal="center"/>
    </xf>
    <xf numFmtId="0" fontId="13" fillId="2" borderId="12" xfId="0" applyFont="1" applyFill="1" applyBorder="1" applyAlignment="1">
      <alignment horizontal="left" vertical="center" indent="2"/>
    </xf>
    <xf numFmtId="0" fontId="13" fillId="2" borderId="12" xfId="0" applyFont="1" applyFill="1" applyBorder="1" applyAlignment="1">
      <alignment horizontal="left" vertical="center" indent="3"/>
    </xf>
    <xf numFmtId="0" fontId="13" fillId="7" borderId="12" xfId="0" applyFont="1" applyFill="1" applyBorder="1" applyAlignment="1">
      <alignment horizontal="left" vertical="center" indent="1"/>
    </xf>
    <xf numFmtId="0" fontId="13" fillId="11" borderId="12" xfId="0" applyFont="1" applyFill="1" applyBorder="1" applyAlignment="1">
      <alignment horizontal="left" vertical="center" indent="2"/>
    </xf>
    <xf numFmtId="0" fontId="13" fillId="4" borderId="12" xfId="0" applyFont="1" applyFill="1" applyBorder="1" applyAlignment="1">
      <alignment horizontal="left" vertical="center" indent="1"/>
    </xf>
    <xf numFmtId="0" fontId="25" fillId="12" borderId="12" xfId="0" applyFont="1" applyFill="1" applyBorder="1" applyAlignment="1">
      <alignment horizontal="center" vertical="center"/>
    </xf>
    <xf numFmtId="0" fontId="24" fillId="12" borderId="0" xfId="0" applyFont="1" applyFill="1" applyAlignment="1">
      <alignment horizontal="center" vertical="center"/>
    </xf>
    <xf numFmtId="0" fontId="11" fillId="2" borderId="1" xfId="0" applyFont="1" applyFill="1" applyBorder="1" applyAlignment="1">
      <alignment horizontal="center"/>
    </xf>
    <xf numFmtId="0" fontId="11" fillId="2" borderId="9" xfId="0" applyFont="1" applyFill="1" applyBorder="1" applyAlignment="1">
      <alignment horizontal="center"/>
    </xf>
    <xf numFmtId="0" fontId="11" fillId="2" borderId="2" xfId="0" applyFont="1" applyFill="1" applyBorder="1" applyAlignment="1">
      <alignment horizontal="center"/>
    </xf>
    <xf numFmtId="0" fontId="33" fillId="2" borderId="0" xfId="0" applyFont="1" applyFill="1" applyAlignment="1">
      <alignment horizontal="center" vertical="center" wrapText="1"/>
    </xf>
    <xf numFmtId="0" fontId="12" fillId="2" borderId="0" xfId="0" applyFont="1" applyFill="1" applyAlignment="1">
      <alignment horizontal="center" vertical="center" wrapText="1"/>
    </xf>
    <xf numFmtId="0" fontId="10" fillId="2" borderId="1" xfId="0" applyFont="1" applyFill="1" applyBorder="1" applyAlignment="1">
      <alignment horizontal="center"/>
    </xf>
    <xf numFmtId="0" fontId="10" fillId="2" borderId="9" xfId="0" applyFont="1" applyFill="1" applyBorder="1" applyAlignment="1">
      <alignment horizontal="center"/>
    </xf>
    <xf numFmtId="0" fontId="10" fillId="2" borderId="2" xfId="0" applyFont="1" applyFill="1" applyBorder="1" applyAlignment="1">
      <alignment horizontal="center"/>
    </xf>
    <xf numFmtId="0" fontId="42" fillId="26" borderId="1" xfId="0" applyFont="1" applyFill="1" applyBorder="1" applyAlignment="1">
      <alignment horizontal="left" vertical="center" wrapText="1"/>
    </xf>
    <xf numFmtId="0" fontId="42" fillId="26" borderId="9" xfId="0" applyFont="1" applyFill="1" applyBorder="1" applyAlignment="1">
      <alignment horizontal="left" vertical="center" wrapText="1"/>
    </xf>
    <xf numFmtId="0" fontId="42" fillId="26" borderId="2" xfId="0" applyFont="1" applyFill="1" applyBorder="1" applyAlignment="1">
      <alignment horizontal="left" vertical="center" wrapText="1"/>
    </xf>
    <xf numFmtId="0" fontId="45" fillId="2" borderId="0" xfId="0" applyFont="1" applyFill="1" applyAlignment="1">
      <alignment horizontal="center" vertical="center"/>
    </xf>
    <xf numFmtId="0" fontId="43" fillId="26" borderId="1" xfId="0" applyFont="1" applyFill="1" applyBorder="1" applyAlignment="1">
      <alignment horizontal="left" vertical="center" wrapText="1"/>
    </xf>
    <xf numFmtId="0" fontId="43" fillId="26" borderId="9" xfId="0" applyFont="1" applyFill="1" applyBorder="1" applyAlignment="1">
      <alignment horizontal="left" vertical="center" wrapText="1"/>
    </xf>
    <xf numFmtId="0" fontId="43" fillId="26" borderId="2" xfId="0" applyFont="1" applyFill="1" applyBorder="1" applyAlignment="1">
      <alignment horizontal="left" vertical="center" wrapText="1"/>
    </xf>
    <xf numFmtId="0" fontId="30" fillId="19" borderId="43" xfId="0" applyFont="1" applyFill="1" applyBorder="1" applyAlignment="1">
      <alignment horizontal="center" vertical="center" wrapText="1"/>
    </xf>
    <xf numFmtId="0" fontId="30" fillId="19" borderId="7" xfId="0" applyFont="1" applyFill="1" applyBorder="1" applyAlignment="1">
      <alignment horizontal="center" vertical="center" wrapText="1"/>
    </xf>
    <xf numFmtId="0" fontId="30" fillId="19" borderId="6" xfId="0" applyFont="1" applyFill="1" applyBorder="1" applyAlignment="1">
      <alignment horizontal="center" vertical="center" wrapText="1"/>
    </xf>
    <xf numFmtId="0" fontId="0" fillId="19" borderId="43" xfId="0" applyFill="1" applyBorder="1" applyAlignment="1">
      <alignment horizontal="center" vertical="center" wrapText="1"/>
    </xf>
    <xf numFmtId="0" fontId="0" fillId="19" borderId="7" xfId="0" applyFill="1" applyBorder="1" applyAlignment="1">
      <alignment horizontal="center" vertical="center" wrapText="1"/>
    </xf>
    <xf numFmtId="0" fontId="0" fillId="19" borderId="6" xfId="0" applyFill="1" applyBorder="1" applyAlignment="1">
      <alignment horizontal="center" vertical="center" wrapText="1"/>
    </xf>
    <xf numFmtId="0" fontId="30" fillId="18" borderId="43" xfId="0" applyFont="1" applyFill="1" applyBorder="1" applyAlignment="1">
      <alignment horizontal="center" vertical="center" wrapText="1"/>
    </xf>
    <xf numFmtId="0" fontId="30" fillId="18" borderId="7" xfId="0" applyFont="1" applyFill="1" applyBorder="1" applyAlignment="1">
      <alignment horizontal="center" vertical="center" wrapText="1"/>
    </xf>
    <xf numFmtId="0" fontId="30" fillId="18" borderId="6" xfId="0" applyFont="1" applyFill="1" applyBorder="1" applyAlignment="1">
      <alignment horizontal="center" vertical="center" wrapText="1"/>
    </xf>
    <xf numFmtId="0" fontId="0" fillId="18" borderId="43" xfId="0" applyFill="1" applyBorder="1" applyAlignment="1">
      <alignment horizontal="center" vertical="center" wrapText="1"/>
    </xf>
    <xf numFmtId="0" fontId="0" fillId="18" borderId="7" xfId="0" applyFill="1" applyBorder="1" applyAlignment="1">
      <alignment horizontal="center" vertical="center" wrapText="1"/>
    </xf>
    <xf numFmtId="0" fontId="0" fillId="18" borderId="6" xfId="0" applyFill="1" applyBorder="1" applyAlignment="1">
      <alignment horizontal="center" vertical="center" wrapText="1"/>
    </xf>
    <xf numFmtId="0" fontId="30" fillId="17" borderId="43" xfId="0" applyFont="1" applyFill="1" applyBorder="1" applyAlignment="1">
      <alignment horizontal="center" vertical="center" wrapText="1"/>
    </xf>
    <xf numFmtId="0" fontId="30" fillId="17" borderId="7" xfId="0" applyFont="1" applyFill="1" applyBorder="1" applyAlignment="1">
      <alignment horizontal="center" vertical="center" wrapText="1"/>
    </xf>
    <xf numFmtId="0" fontId="30" fillId="17" borderId="6" xfId="0" applyFont="1" applyFill="1" applyBorder="1" applyAlignment="1">
      <alignment horizontal="center" vertical="center" wrapText="1"/>
    </xf>
    <xf numFmtId="0" fontId="0" fillId="17" borderId="43" xfId="0" applyFill="1" applyBorder="1" applyAlignment="1">
      <alignment horizontal="center" vertical="center" wrapText="1"/>
    </xf>
    <xf numFmtId="0" fontId="0" fillId="17" borderId="7"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43" xfId="0" applyFill="1" applyBorder="1" applyAlignment="1">
      <alignment horizontal="center" wrapText="1"/>
    </xf>
    <xf numFmtId="0" fontId="0" fillId="18" borderId="7" xfId="0" applyFill="1" applyBorder="1" applyAlignment="1">
      <alignment horizontal="center" wrapText="1"/>
    </xf>
    <xf numFmtId="0" fontId="0" fillId="18" borderId="6" xfId="0" applyFill="1" applyBorder="1" applyAlignment="1">
      <alignment horizontal="center" wrapText="1"/>
    </xf>
    <xf numFmtId="0" fontId="0" fillId="16" borderId="43" xfId="0" applyFill="1" applyBorder="1" applyAlignment="1">
      <alignment horizontal="center" vertical="center" wrapText="1"/>
    </xf>
    <xf numFmtId="0" fontId="0" fillId="16" borderId="7" xfId="0" applyFill="1" applyBorder="1" applyAlignment="1">
      <alignment horizontal="center" vertical="center" wrapText="1"/>
    </xf>
    <xf numFmtId="0" fontId="0" fillId="16" borderId="6" xfId="0" applyFill="1" applyBorder="1" applyAlignment="1">
      <alignment horizontal="center" vertical="center" wrapText="1"/>
    </xf>
    <xf numFmtId="0" fontId="32" fillId="16" borderId="43" xfId="0" applyFont="1" applyFill="1" applyBorder="1" applyAlignment="1">
      <alignment horizontal="center" vertical="center" wrapText="1"/>
    </xf>
    <xf numFmtId="0" fontId="32" fillId="16" borderId="7" xfId="0" applyFont="1" applyFill="1" applyBorder="1" applyAlignment="1">
      <alignment horizontal="center" vertical="center" wrapText="1"/>
    </xf>
    <xf numFmtId="0" fontId="32" fillId="16" borderId="6" xfId="0" applyFont="1" applyFill="1" applyBorder="1" applyAlignment="1">
      <alignment horizontal="center" vertical="center" wrapText="1"/>
    </xf>
    <xf numFmtId="0" fontId="0" fillId="2" borderId="0" xfId="0" applyFill="1" applyAlignment="1">
      <alignment horizontal="center"/>
    </xf>
    <xf numFmtId="0" fontId="30" fillId="16" borderId="43" xfId="0" applyFont="1" applyFill="1" applyBorder="1" applyAlignment="1">
      <alignment horizontal="center" vertical="center" wrapText="1"/>
    </xf>
    <xf numFmtId="0" fontId="30" fillId="16" borderId="7" xfId="0" applyFont="1" applyFill="1" applyBorder="1" applyAlignment="1">
      <alignment horizontal="center" vertical="center" wrapText="1"/>
    </xf>
    <xf numFmtId="0" fontId="30" fillId="16" borderId="6" xfId="0" applyFont="1" applyFill="1" applyBorder="1" applyAlignment="1">
      <alignment horizontal="center" vertical="center" wrapText="1"/>
    </xf>
    <xf numFmtId="0" fontId="10" fillId="2" borderId="57" xfId="0" applyFont="1" applyFill="1" applyBorder="1" applyAlignment="1">
      <alignment horizontal="center"/>
    </xf>
    <xf numFmtId="0" fontId="10" fillId="2" borderId="52" xfId="0" applyFont="1" applyFill="1" applyBorder="1" applyAlignment="1">
      <alignment horizontal="center"/>
    </xf>
    <xf numFmtId="0" fontId="10" fillId="2" borderId="58" xfId="0" applyFont="1" applyFill="1" applyBorder="1" applyAlignment="1">
      <alignment horizontal="center"/>
    </xf>
    <xf numFmtId="0" fontId="10" fillId="2" borderId="56" xfId="0" applyFont="1" applyFill="1" applyBorder="1" applyAlignment="1">
      <alignment horizontal="center"/>
    </xf>
    <xf numFmtId="0" fontId="10" fillId="2" borderId="0" xfId="0" applyFont="1" applyFill="1" applyAlignment="1">
      <alignment horizontal="center"/>
    </xf>
    <xf numFmtId="0" fontId="10" fillId="2" borderId="59" xfId="0" applyFont="1" applyFill="1" applyBorder="1" applyAlignment="1">
      <alignment horizontal="center"/>
    </xf>
    <xf numFmtId="0" fontId="10" fillId="2" borderId="53" xfId="0" applyFont="1" applyFill="1" applyBorder="1" applyAlignment="1">
      <alignment horizontal="center"/>
    </xf>
    <xf numFmtId="0" fontId="10" fillId="2" borderId="54" xfId="0" applyFont="1" applyFill="1" applyBorder="1" applyAlignment="1">
      <alignment horizontal="center"/>
    </xf>
    <xf numFmtId="0" fontId="10" fillId="2" borderId="55" xfId="0" applyFont="1" applyFill="1" applyBorder="1" applyAlignment="1">
      <alignment horizontal="center"/>
    </xf>
    <xf numFmtId="0" fontId="42" fillId="26" borderId="52" xfId="0" applyFont="1" applyFill="1" applyBorder="1" applyAlignment="1">
      <alignment horizontal="center" vertical="center" wrapText="1"/>
    </xf>
    <xf numFmtId="0" fontId="42" fillId="26" borderId="54" xfId="0" applyFont="1" applyFill="1" applyBorder="1" applyAlignment="1">
      <alignment horizontal="center" vertical="center" wrapText="1"/>
    </xf>
    <xf numFmtId="0" fontId="30" fillId="2" borderId="43" xfId="0" applyFont="1" applyFill="1" applyBorder="1" applyAlignment="1">
      <alignment horizontal="center" vertical="center" wrapText="1"/>
    </xf>
    <xf numFmtId="0" fontId="30" fillId="2" borderId="7" xfId="0" applyFont="1" applyFill="1" applyBorder="1" applyAlignment="1">
      <alignment horizontal="center" vertical="center" wrapText="1"/>
    </xf>
    <xf numFmtId="0" fontId="30" fillId="2" borderId="6" xfId="0" applyFont="1" applyFill="1" applyBorder="1" applyAlignment="1">
      <alignment horizontal="center" vertical="center" wrapText="1"/>
    </xf>
    <xf numFmtId="0" fontId="0" fillId="22" borderId="20" xfId="0" applyFill="1" applyBorder="1" applyAlignment="1">
      <alignment horizontal="center" wrapText="1"/>
    </xf>
    <xf numFmtId="0" fontId="0" fillId="22" borderId="21" xfId="0" applyFill="1" applyBorder="1" applyAlignment="1">
      <alignment horizontal="center" wrapText="1"/>
    </xf>
    <xf numFmtId="0" fontId="0" fillId="22" borderId="22" xfId="0" applyFill="1" applyBorder="1" applyAlignment="1">
      <alignment horizontal="center" wrapText="1"/>
    </xf>
    <xf numFmtId="0" fontId="0" fillId="23" borderId="20" xfId="0" applyFill="1" applyBorder="1" applyAlignment="1">
      <alignment horizontal="center" vertical="center" wrapText="1"/>
    </xf>
    <xf numFmtId="0" fontId="0" fillId="23" borderId="21" xfId="0" applyFill="1" applyBorder="1" applyAlignment="1">
      <alignment horizontal="center" vertical="center" wrapText="1"/>
    </xf>
    <xf numFmtId="0" fontId="0" fillId="23" borderId="22" xfId="0" applyFill="1" applyBorder="1" applyAlignment="1">
      <alignment horizontal="center" vertical="center" wrapText="1"/>
    </xf>
    <xf numFmtId="0" fontId="30" fillId="2" borderId="47" xfId="0" applyFont="1" applyFill="1" applyBorder="1" applyAlignment="1">
      <alignment horizontal="center" vertical="center" wrapText="1"/>
    </xf>
    <xf numFmtId="0" fontId="30" fillId="2" borderId="0" xfId="0" applyFont="1" applyFill="1" applyAlignment="1">
      <alignment horizontal="center" vertical="center" wrapText="1"/>
    </xf>
    <xf numFmtId="0" fontId="30" fillId="2" borderId="48" xfId="0" applyFont="1" applyFill="1" applyBorder="1" applyAlignment="1">
      <alignment horizontal="center" vertical="center" wrapText="1"/>
    </xf>
    <xf numFmtId="0" fontId="30" fillId="2" borderId="47" xfId="0" applyFont="1" applyFill="1" applyBorder="1" applyAlignment="1">
      <alignment horizontal="center" vertical="center"/>
    </xf>
    <xf numFmtId="0" fontId="30" fillId="2" borderId="48" xfId="0" applyFont="1" applyFill="1" applyBorder="1" applyAlignment="1">
      <alignment horizontal="center" vertical="center"/>
    </xf>
    <xf numFmtId="0" fontId="0" fillId="20" borderId="20" xfId="0" applyFill="1" applyBorder="1" applyAlignment="1">
      <alignment horizontal="center" wrapText="1"/>
    </xf>
    <xf numFmtId="0" fontId="0" fillId="20" borderId="21" xfId="0" applyFill="1" applyBorder="1" applyAlignment="1">
      <alignment horizontal="center" wrapText="1"/>
    </xf>
    <xf numFmtId="0" fontId="0" fillId="20" borderId="22" xfId="0" applyFill="1" applyBorder="1" applyAlignment="1">
      <alignment horizontal="center" wrapText="1"/>
    </xf>
    <xf numFmtId="0" fontId="0" fillId="21" borderId="20" xfId="0" applyFill="1" applyBorder="1" applyAlignment="1">
      <alignment horizontal="center" wrapText="1"/>
    </xf>
    <xf numFmtId="0" fontId="0" fillId="21" borderId="21" xfId="0" applyFill="1" applyBorder="1" applyAlignment="1">
      <alignment horizontal="center" wrapText="1"/>
    </xf>
    <xf numFmtId="0" fontId="0" fillId="21" borderId="22" xfId="0" applyFill="1" applyBorder="1" applyAlignment="1">
      <alignment horizontal="center" wrapText="1"/>
    </xf>
    <xf numFmtId="0" fontId="0" fillId="17" borderId="20" xfId="0" applyFill="1" applyBorder="1" applyAlignment="1">
      <alignment horizontal="center" wrapText="1"/>
    </xf>
    <xf numFmtId="0" fontId="0" fillId="17" borderId="21" xfId="0" applyFill="1" applyBorder="1" applyAlignment="1">
      <alignment horizontal="center" wrapText="1"/>
    </xf>
    <xf numFmtId="0" fontId="0" fillId="17" borderId="22" xfId="0" applyFill="1" applyBorder="1" applyAlignment="1">
      <alignment horizontal="center" wrapText="1"/>
    </xf>
    <xf numFmtId="0" fontId="0" fillId="18" borderId="20" xfId="0" applyFill="1" applyBorder="1" applyAlignment="1">
      <alignment horizontal="center" wrapText="1"/>
    </xf>
    <xf numFmtId="0" fontId="0" fillId="18" borderId="21" xfId="0" applyFill="1" applyBorder="1" applyAlignment="1">
      <alignment horizontal="center" wrapText="1"/>
    </xf>
    <xf numFmtId="0" fontId="0" fillId="18" borderId="22" xfId="0" applyFill="1" applyBorder="1" applyAlignment="1">
      <alignment horizontal="center" wrapText="1"/>
    </xf>
    <xf numFmtId="0" fontId="0" fillId="2" borderId="8" xfId="0" applyFill="1" applyBorder="1"/>
    <xf numFmtId="0" fontId="0" fillId="2" borderId="6" xfId="0" applyFill="1" applyBorder="1"/>
    <xf numFmtId="0" fontId="30" fillId="2" borderId="40" xfId="0" applyFont="1" applyFill="1" applyBorder="1" applyAlignment="1">
      <alignment horizontal="center" wrapText="1"/>
    </xf>
    <xf numFmtId="0" fontId="30" fillId="2" borderId="63" xfId="0" applyFont="1" applyFill="1" applyBorder="1" applyAlignment="1">
      <alignment horizontal="center" vertical="center" wrapText="1"/>
    </xf>
    <xf numFmtId="0" fontId="30" fillId="2" borderId="64" xfId="0" applyFont="1" applyFill="1" applyBorder="1" applyAlignment="1">
      <alignment horizontal="center" vertical="center" wrapText="1"/>
    </xf>
    <xf numFmtId="0" fontId="46" fillId="7" borderId="57" xfId="0" applyFont="1" applyFill="1" applyBorder="1" applyAlignment="1">
      <alignment horizontal="center"/>
    </xf>
    <xf numFmtId="0" fontId="46" fillId="7" borderId="52" xfId="0" applyFont="1" applyFill="1" applyBorder="1" applyAlignment="1">
      <alignment horizontal="center"/>
    </xf>
    <xf numFmtId="0" fontId="46" fillId="7" borderId="58" xfId="0" applyFont="1" applyFill="1" applyBorder="1" applyAlignment="1">
      <alignment horizontal="center"/>
    </xf>
    <xf numFmtId="0" fontId="47" fillId="2" borderId="1" xfId="0" applyFont="1" applyFill="1" applyBorder="1" applyAlignment="1">
      <alignment horizontal="center" vertical="center"/>
    </xf>
    <xf numFmtId="0" fontId="47" fillId="2" borderId="9" xfId="0" applyFont="1" applyFill="1" applyBorder="1" applyAlignment="1">
      <alignment horizontal="center" vertical="center"/>
    </xf>
    <xf numFmtId="0" fontId="47" fillId="2" borderId="2" xfId="0" applyFont="1" applyFill="1" applyBorder="1" applyAlignment="1">
      <alignment horizontal="center" vertical="center"/>
    </xf>
    <xf numFmtId="0" fontId="0" fillId="8" borderId="65" xfId="0" applyFill="1" applyBorder="1"/>
    <xf numFmtId="0" fontId="0" fillId="2" borderId="66" xfId="0" applyFill="1" applyBorder="1"/>
    <xf numFmtId="0" fontId="0" fillId="2" borderId="67" xfId="0" applyFill="1" applyBorder="1"/>
    <xf numFmtId="0" fontId="0" fillId="5" borderId="68" xfId="0" applyFill="1" applyBorder="1"/>
    <xf numFmtId="0" fontId="0" fillId="2" borderId="69" xfId="0" applyFill="1" applyBorder="1"/>
    <xf numFmtId="0" fontId="0" fillId="21" borderId="60" xfId="0" applyFill="1" applyBorder="1"/>
    <xf numFmtId="0" fontId="0" fillId="2" borderId="61" xfId="0" applyFill="1" applyBorder="1"/>
    <xf numFmtId="0" fontId="0" fillId="2" borderId="62" xfId="0" applyFill="1" applyBorder="1"/>
  </cellXfs>
  <cellStyles count="13">
    <cellStyle name="Hipervínculo" xfId="3" builtinId="8"/>
    <cellStyle name="Hipervínculo 2" xfId="4" xr:uid="{00000000-0005-0000-0000-000001000000}"/>
    <cellStyle name="Millares" xfId="12" builtinId="3"/>
    <cellStyle name="Millares [0] 2" xfId="5" xr:uid="{00000000-0005-0000-0000-000003000000}"/>
    <cellStyle name="Millares 2" xfId="7" xr:uid="{00000000-0005-0000-0000-000004000000}"/>
    <cellStyle name="Moneda" xfId="11" builtinId="4"/>
    <cellStyle name="Moneda [0]" xfId="10" builtinId="7"/>
    <cellStyle name="Normal" xfId="0" builtinId="0"/>
    <cellStyle name="Normal 2" xfId="2" xr:uid="{00000000-0005-0000-0000-000006000000}"/>
    <cellStyle name="Normal 3" xfId="6" xr:uid="{00000000-0005-0000-0000-000007000000}"/>
    <cellStyle name="Porcentaje" xfId="1" builtinId="5"/>
    <cellStyle name="Porcentaje 2" xfId="8" xr:uid="{00000000-0005-0000-0000-000009000000}"/>
    <cellStyle name="Porcentual 2" xfId="9" xr:uid="{00000000-0005-0000-0000-00000A000000}"/>
  </cellStyles>
  <dxfs count="3">
    <dxf>
      <font>
        <b/>
        <i val="0"/>
        <color theme="0"/>
      </font>
      <fill>
        <patternFill>
          <bgColor rgb="FF00B050"/>
        </patternFill>
      </fill>
    </dxf>
    <dxf>
      <font>
        <b/>
        <i val="0"/>
        <color theme="0"/>
      </font>
      <fill>
        <patternFill>
          <bgColor rgb="FF00B050"/>
        </patternFill>
      </fill>
    </dxf>
    <dxf>
      <fill>
        <patternFill patternType="none">
          <bgColor auto="1"/>
        </patternFill>
      </fill>
    </dxf>
  </dxfs>
  <tableStyles count="0" defaultTableStyle="TableStyleMedium2" defaultPivotStyle="PivotStyleLight16"/>
  <colors>
    <mruColors>
      <color rgb="FFFF66FF"/>
      <color rgb="FFCCFF66"/>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'Inversión Inicial'!$B$5</c:f>
              <c:strCache>
                <c:ptCount val="1"/>
                <c:pt idx="0">
                  <c:v>Efectivo</c:v>
                </c:pt>
              </c:strCache>
            </c:strRef>
          </c:tx>
          <c:spPr>
            <a:solidFill>
              <a:schemeClr val="accent1">
                <a:lumMod val="40000"/>
                <a:lumOff val="60000"/>
              </a:schemeClr>
            </a:solidFill>
            <a:ln>
              <a:noFill/>
            </a:ln>
            <a:effectLst/>
          </c:spPr>
          <c:invertIfNegative val="0"/>
          <c:trendline>
            <c:spPr>
              <a:ln w="19050" cap="rnd">
                <a:solidFill>
                  <a:schemeClr val="accent3">
                    <a:lumMod val="50000"/>
                  </a:schemeClr>
                </a:solidFill>
                <a:prstDash val="sysDot"/>
              </a:ln>
              <a:effectLst/>
            </c:spPr>
            <c:trendlineType val="linear"/>
            <c:dispRSqr val="0"/>
            <c:dispEq val="0"/>
          </c:trendline>
          <c:cat>
            <c:strRef>
              <c:f>'Inversión Inicial'!$C$4:$F$4</c:f>
              <c:strCache>
                <c:ptCount val="4"/>
                <c:pt idx="0">
                  <c:v>Previo inicio</c:v>
                </c:pt>
                <c:pt idx="1">
                  <c:v>AÑO 1</c:v>
                </c:pt>
                <c:pt idx="2">
                  <c:v>AÑO 2</c:v>
                </c:pt>
                <c:pt idx="3">
                  <c:v>AÑO 3</c:v>
                </c:pt>
              </c:strCache>
            </c:strRef>
          </c:cat>
          <c:val>
            <c:numRef>
              <c:f>'Inversión Inicial'!$C$5:$F$5</c:f>
              <c:numCache>
                <c:formatCode>_("$"* #,##0_);_("$"* \(#,##0\);_("$"* "-"_);_(@_)</c:formatCode>
                <c:ptCount val="4"/>
                <c:pt idx="0">
                  <c:v>20500000</c:v>
                </c:pt>
                <c:pt idx="1">
                  <c:v>29800000</c:v>
                </c:pt>
                <c:pt idx="2">
                  <c:v>31500000</c:v>
                </c:pt>
                <c:pt idx="3">
                  <c:v>38000000</c:v>
                </c:pt>
              </c:numCache>
            </c:numRef>
          </c:val>
          <c:extLst>
            <c:ext xmlns:c16="http://schemas.microsoft.com/office/drawing/2014/chart" uri="{C3380CC4-5D6E-409C-BE32-E72D297353CC}">
              <c16:uniqueId val="{00000000-932C-41A7-AEF9-CDBB14FD049B}"/>
            </c:ext>
          </c:extLst>
        </c:ser>
        <c:dLbls>
          <c:showLegendKey val="0"/>
          <c:showVal val="0"/>
          <c:showCatName val="0"/>
          <c:showSerName val="0"/>
          <c:showPercent val="0"/>
          <c:showBubbleSize val="0"/>
        </c:dLbls>
        <c:gapWidth val="219"/>
        <c:overlap val="-27"/>
        <c:axId val="1862893904"/>
        <c:axId val="1862895344"/>
      </c:barChart>
      <c:catAx>
        <c:axId val="186289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62895344"/>
        <c:crosses val="autoZero"/>
        <c:auto val="1"/>
        <c:lblAlgn val="ctr"/>
        <c:lblOffset val="100"/>
        <c:noMultiLvlLbl val="0"/>
      </c:catAx>
      <c:valAx>
        <c:axId val="1862895344"/>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628939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'Inversión Inicial'!$B$11</c:f>
              <c:strCache>
                <c:ptCount val="1"/>
                <c:pt idx="0">
                  <c:v>Inventarios</c:v>
                </c:pt>
              </c:strCache>
            </c:strRef>
          </c:tx>
          <c:spPr>
            <a:solidFill>
              <a:schemeClr val="accent2">
                <a:lumMod val="40000"/>
                <a:lumOff val="60000"/>
              </a:schemeClr>
            </a:solidFill>
            <a:ln>
              <a:noFill/>
            </a:ln>
            <a:effectLst/>
          </c:spPr>
          <c:invertIfNegative val="0"/>
          <c:trendline>
            <c:spPr>
              <a:ln w="19050" cap="rnd">
                <a:solidFill>
                  <a:schemeClr val="accent3"/>
                </a:solidFill>
                <a:prstDash val="sysDot"/>
              </a:ln>
              <a:effectLst/>
            </c:spPr>
            <c:trendlineType val="linear"/>
            <c:dispRSqr val="0"/>
            <c:dispEq val="0"/>
          </c:trendline>
          <c:cat>
            <c:strRef>
              <c:f>'Inversión Inicial'!$C$4:$F$4</c:f>
              <c:strCache>
                <c:ptCount val="4"/>
                <c:pt idx="0">
                  <c:v>Previo inicio</c:v>
                </c:pt>
                <c:pt idx="1">
                  <c:v>AÑO 1</c:v>
                </c:pt>
                <c:pt idx="2">
                  <c:v>AÑO 2</c:v>
                </c:pt>
                <c:pt idx="3">
                  <c:v>AÑO 3</c:v>
                </c:pt>
              </c:strCache>
            </c:strRef>
          </c:cat>
          <c:val>
            <c:numRef>
              <c:f>'Inversión Inicial'!$C$11:$F$11</c:f>
              <c:numCache>
                <c:formatCode>_("$"* #,##0_);_("$"* \(#,##0\);_("$"* "-"_);_(@_)</c:formatCode>
                <c:ptCount val="4"/>
                <c:pt idx="0">
                  <c:v>4000000</c:v>
                </c:pt>
                <c:pt idx="1">
                  <c:v>8000000</c:v>
                </c:pt>
                <c:pt idx="2">
                  <c:v>12000000</c:v>
                </c:pt>
                <c:pt idx="3">
                  <c:v>17000000</c:v>
                </c:pt>
              </c:numCache>
            </c:numRef>
          </c:val>
          <c:extLst>
            <c:ext xmlns:c16="http://schemas.microsoft.com/office/drawing/2014/chart" uri="{C3380CC4-5D6E-409C-BE32-E72D297353CC}">
              <c16:uniqueId val="{00000000-305F-411F-A1E7-572B5339D78E}"/>
            </c:ext>
          </c:extLst>
        </c:ser>
        <c:dLbls>
          <c:showLegendKey val="0"/>
          <c:showVal val="0"/>
          <c:showCatName val="0"/>
          <c:showSerName val="0"/>
          <c:showPercent val="0"/>
          <c:showBubbleSize val="0"/>
        </c:dLbls>
        <c:gapWidth val="219"/>
        <c:overlap val="-27"/>
        <c:axId val="279415408"/>
        <c:axId val="279434128"/>
      </c:barChart>
      <c:catAx>
        <c:axId val="279415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34128"/>
        <c:crosses val="autoZero"/>
        <c:auto val="1"/>
        <c:lblAlgn val="ctr"/>
        <c:lblOffset val="100"/>
        <c:noMultiLvlLbl val="0"/>
      </c:catAx>
      <c:valAx>
        <c:axId val="27943412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15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'Inversión Inicial'!$B$18</c:f>
              <c:strCache>
                <c:ptCount val="1"/>
                <c:pt idx="0">
                  <c:v>Propiedad, Planta y Equipo</c:v>
                </c:pt>
              </c:strCache>
            </c:strRef>
          </c:tx>
          <c:spPr>
            <a:solidFill>
              <a:schemeClr val="accent4">
                <a:lumMod val="60000"/>
                <a:lumOff val="40000"/>
              </a:schemeClr>
            </a:solidFill>
            <a:ln>
              <a:noFill/>
            </a:ln>
            <a:effectLst/>
          </c:spPr>
          <c:invertIfNegative val="0"/>
          <c:trendline>
            <c:spPr>
              <a:ln w="19050" cap="rnd">
                <a:solidFill>
                  <a:schemeClr val="accent6">
                    <a:lumMod val="75000"/>
                  </a:schemeClr>
                </a:solidFill>
                <a:prstDash val="sysDot"/>
              </a:ln>
              <a:effectLst/>
            </c:spPr>
            <c:trendlineType val="linear"/>
            <c:dispRSqr val="0"/>
            <c:dispEq val="0"/>
          </c:trendline>
          <c:cat>
            <c:strRef>
              <c:f>'Inversión Inicial'!$C$4:$F$4</c:f>
              <c:strCache>
                <c:ptCount val="4"/>
                <c:pt idx="0">
                  <c:v>Previo inicio</c:v>
                </c:pt>
                <c:pt idx="1">
                  <c:v>AÑO 1</c:v>
                </c:pt>
                <c:pt idx="2">
                  <c:v>AÑO 2</c:v>
                </c:pt>
                <c:pt idx="3">
                  <c:v>AÑO 3</c:v>
                </c:pt>
              </c:strCache>
            </c:strRef>
          </c:cat>
          <c:val>
            <c:numRef>
              <c:f>'Inversión Inicial'!$C$18:$F$18</c:f>
              <c:numCache>
                <c:formatCode>_("$"* #,##0_);_("$"* \(#,##0\);_("$"* "-"_);_(@_)</c:formatCode>
                <c:ptCount val="4"/>
                <c:pt idx="0">
                  <c:v>10000000</c:v>
                </c:pt>
                <c:pt idx="1">
                  <c:v>48000000</c:v>
                </c:pt>
                <c:pt idx="2">
                  <c:v>80000000</c:v>
                </c:pt>
                <c:pt idx="3">
                  <c:v>120000000</c:v>
                </c:pt>
              </c:numCache>
            </c:numRef>
          </c:val>
          <c:extLst>
            <c:ext xmlns:c16="http://schemas.microsoft.com/office/drawing/2014/chart" uri="{C3380CC4-5D6E-409C-BE32-E72D297353CC}">
              <c16:uniqueId val="{00000000-79C3-4F22-8CE3-90DA595E9390}"/>
            </c:ext>
          </c:extLst>
        </c:ser>
        <c:dLbls>
          <c:showLegendKey val="0"/>
          <c:showVal val="0"/>
          <c:showCatName val="0"/>
          <c:showSerName val="0"/>
          <c:showPercent val="0"/>
          <c:showBubbleSize val="0"/>
        </c:dLbls>
        <c:gapWidth val="219"/>
        <c:overlap val="-27"/>
        <c:axId val="625152608"/>
        <c:axId val="625153088"/>
      </c:barChart>
      <c:catAx>
        <c:axId val="62515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25153088"/>
        <c:crosses val="autoZero"/>
        <c:auto val="1"/>
        <c:lblAlgn val="ctr"/>
        <c:lblOffset val="100"/>
        <c:noMultiLvlLbl val="0"/>
      </c:catAx>
      <c:valAx>
        <c:axId val="625153088"/>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251526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'Inversión Inicial'!$B$33</c:f>
              <c:strCache>
                <c:ptCount val="1"/>
                <c:pt idx="0">
                  <c:v>INVERSION TOTAL</c:v>
                </c:pt>
              </c:strCache>
            </c:strRef>
          </c:tx>
          <c:spPr>
            <a:solidFill>
              <a:schemeClr val="accent1"/>
            </a:solidFill>
            <a:ln>
              <a:noFill/>
            </a:ln>
            <a:effectLst/>
          </c:spPr>
          <c:invertIfNegative val="0"/>
          <c:dPt>
            <c:idx val="1"/>
            <c:invertIfNegative val="0"/>
            <c:bubble3D val="0"/>
            <c:spPr>
              <a:solidFill>
                <a:schemeClr val="accent4">
                  <a:lumMod val="40000"/>
                  <a:lumOff val="60000"/>
                </a:schemeClr>
              </a:solidFill>
              <a:ln>
                <a:noFill/>
              </a:ln>
              <a:effectLst/>
            </c:spPr>
            <c:extLst>
              <c:ext xmlns:c16="http://schemas.microsoft.com/office/drawing/2014/chart" uri="{C3380CC4-5D6E-409C-BE32-E72D297353CC}">
                <c16:uniqueId val="{00000004-59F9-4F10-9134-838456544563}"/>
              </c:ext>
            </c:extLst>
          </c:dPt>
          <c:dPt>
            <c:idx val="2"/>
            <c:invertIfNegative val="0"/>
            <c:bubble3D val="0"/>
            <c:spPr>
              <a:solidFill>
                <a:srgbClr val="92D050"/>
              </a:solidFill>
              <a:ln>
                <a:noFill/>
              </a:ln>
              <a:effectLst/>
            </c:spPr>
            <c:extLst>
              <c:ext xmlns:c16="http://schemas.microsoft.com/office/drawing/2014/chart" uri="{C3380CC4-5D6E-409C-BE32-E72D297353CC}">
                <c16:uniqueId val="{00000000-59F9-4F10-9134-838456544563}"/>
              </c:ext>
            </c:extLst>
          </c:dPt>
          <c:dPt>
            <c:idx val="3"/>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59F9-4F10-9134-838456544563}"/>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F9-4F10-9134-838456544563}"/>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F9-4F10-9134-838456544563}"/>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F9-4F10-9134-838456544563}"/>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F9-4F10-9134-8384565445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strRef>
              <c:f>'Inversión Inicial'!$C$32:$F$32</c:f>
              <c:strCache>
                <c:ptCount val="4"/>
                <c:pt idx="0">
                  <c:v>Previo inicio</c:v>
                </c:pt>
                <c:pt idx="1">
                  <c:v>AÑO 1</c:v>
                </c:pt>
                <c:pt idx="2">
                  <c:v>AÑO 2</c:v>
                </c:pt>
                <c:pt idx="3">
                  <c:v>AÑO 3</c:v>
                </c:pt>
              </c:strCache>
            </c:strRef>
          </c:cat>
          <c:val>
            <c:numRef>
              <c:f>'Inversión Inicial'!$C$33:$F$33</c:f>
              <c:numCache>
                <c:formatCode>"$"\ #,##0</c:formatCode>
                <c:ptCount val="4"/>
                <c:pt idx="0">
                  <c:v>34500000</c:v>
                </c:pt>
                <c:pt idx="1">
                  <c:v>85800000</c:v>
                </c:pt>
                <c:pt idx="2">
                  <c:v>123500000</c:v>
                </c:pt>
                <c:pt idx="3">
                  <c:v>175000000</c:v>
                </c:pt>
              </c:numCache>
            </c:numRef>
          </c:val>
          <c:extLst>
            <c:ext xmlns:c16="http://schemas.microsoft.com/office/drawing/2014/chart" uri="{C3380CC4-5D6E-409C-BE32-E72D297353CC}">
              <c16:uniqueId val="{00000000-CC45-4C88-9E19-6CD9BEA2AFDB}"/>
            </c:ext>
          </c:extLst>
        </c:ser>
        <c:dLbls>
          <c:showLegendKey val="0"/>
          <c:showVal val="0"/>
          <c:showCatName val="0"/>
          <c:showSerName val="0"/>
          <c:showPercent val="0"/>
          <c:showBubbleSize val="0"/>
        </c:dLbls>
        <c:gapWidth val="219"/>
        <c:overlap val="-27"/>
        <c:axId val="705800480"/>
        <c:axId val="705794720"/>
      </c:barChart>
      <c:catAx>
        <c:axId val="70580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794720"/>
        <c:crosses val="autoZero"/>
        <c:auto val="1"/>
        <c:lblAlgn val="ctr"/>
        <c:lblOffset val="100"/>
        <c:noMultiLvlLbl val="0"/>
      </c:catAx>
      <c:valAx>
        <c:axId val="705794720"/>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800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400" b="0" i="0" u="none" strike="noStrike" kern="1200" spc="0" baseline="0">
                <a:solidFill>
                  <a:sysClr val="windowText" lastClr="000000">
                    <a:lumMod val="65000"/>
                    <a:lumOff val="35000"/>
                  </a:sysClr>
                </a:solidFill>
              </a:rPr>
              <a:t>Capital Amortizado Vs Capital Pendiente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Financiación!$F$24</c:f>
              <c:strCache>
                <c:ptCount val="1"/>
                <c:pt idx="0">
                  <c:v>Capital amortizado</c:v>
                </c:pt>
              </c:strCache>
            </c:strRef>
          </c:tx>
          <c:spPr>
            <a:solidFill>
              <a:schemeClr val="accent1"/>
            </a:solidFill>
            <a:ln>
              <a:noFill/>
            </a:ln>
            <a:effectLst/>
          </c:spPr>
          <c:invertIfNegative val="0"/>
          <c:val>
            <c:numRef>
              <c:f>(Financiación!$F$25:$F$36,Financiación!$F$38:$F$48,Financiación!$F$50:$F$60)</c:f>
              <c:numCache>
                <c:formatCode>"$"#,##0_);[Red]\("$"#,##0\)</c:formatCode>
                <c:ptCount val="34"/>
                <c:pt idx="1">
                  <c:v>193626.68384612212</c:v>
                </c:pt>
                <c:pt idx="2">
                  <c:v>391058.13202982175</c:v>
                </c:pt>
                <c:pt idx="3">
                  <c:v>592369.10817033111</c:v>
                </c:pt>
                <c:pt idx="4">
                  <c:v>797635.84499200154</c:v>
                </c:pt>
                <c:pt idx="5">
                  <c:v>1006936.0731922177</c:v>
                </c:pt>
                <c:pt idx="6">
                  <c:v>1220349.0508765683</c:v>
                </c:pt>
                <c:pt idx="7">
                  <c:v>1437955.5935724163</c:v>
                </c:pt>
                <c:pt idx="8">
                  <c:v>1659838.1048322376</c:v>
                </c:pt>
                <c:pt idx="9">
                  <c:v>1886080.6074383145</c:v>
                </c:pt>
                <c:pt idx="10">
                  <c:v>2116768.7752206009</c:v>
                </c:pt>
                <c:pt idx="11">
                  <c:v>2351989.965499809</c:v>
                </c:pt>
                <c:pt idx="12">
                  <c:v>2836389.4594192281</c:v>
                </c:pt>
                <c:pt idx="13">
                  <c:v>3085751.1961429394</c:v>
                </c:pt>
                <c:pt idx="14">
                  <c:v>3340012.8909932715</c:v>
                </c:pt>
                <c:pt idx="15">
                  <c:v>3599270.8281474127</c:v>
                </c:pt>
                <c:pt idx="16">
                  <c:v>3863623.1837666328</c:v>
                </c:pt>
                <c:pt idx="17">
                  <c:v>4133170.0631737704</c:v>
                </c:pt>
                <c:pt idx="18">
                  <c:v>4408013.5387612581</c:v>
                </c:pt>
                <c:pt idx="19">
                  <c:v>4688257.6886440404</c:v>
                </c:pt>
                <c:pt idx="20">
                  <c:v>4974008.6360720191</c:v>
                </c:pt>
                <c:pt idx="21">
                  <c:v>5265374.5896169581</c:v>
                </c:pt>
                <c:pt idx="22">
                  <c:v>5562465.884149055</c:v>
                </c:pt>
                <c:pt idx="23">
                  <c:v>6174276.7186592882</c:v>
                </c:pt>
                <c:pt idx="24">
                  <c:v>6489227.9400270665</c:v>
                </c:pt>
                <c:pt idx="25">
                  <c:v>6810367.9528947221</c:v>
                </c:pt>
                <c:pt idx="26">
                  <c:v>7137818.3670152267</c:v>
                </c:pt>
                <c:pt idx="27">
                  <c:v>7471703.1817731997</c:v>
                </c:pt>
                <c:pt idx="28">
                  <c:v>7812148.8331411667</c:v>
                </c:pt>
                <c:pt idx="29">
                  <c:v>8159284.2415585145</c:v>
                </c:pt>
                <c:pt idx="30">
                  <c:v>8513240.8607512619</c:v>
                </c:pt>
                <c:pt idx="31">
                  <c:v>8874152.727511147</c:v>
                </c:pt>
                <c:pt idx="32">
                  <c:v>9242156.512452865</c:v>
                </c:pt>
                <c:pt idx="33">
                  <c:v>9617391.571768688</c:v>
                </c:pt>
              </c:numCache>
            </c:numRef>
          </c:val>
          <c:extLst>
            <c:ext xmlns:c16="http://schemas.microsoft.com/office/drawing/2014/chart" uri="{C3380CC4-5D6E-409C-BE32-E72D297353CC}">
              <c16:uniqueId val="{00000000-EF31-4C5B-913A-83983E65035E}"/>
            </c:ext>
          </c:extLst>
        </c:ser>
        <c:ser>
          <c:idx val="1"/>
          <c:order val="1"/>
          <c:tx>
            <c:strRef>
              <c:f>Financiación!$G$24</c:f>
              <c:strCache>
                <c:ptCount val="1"/>
                <c:pt idx="0">
                  <c:v>Capital Pendiente</c:v>
                </c:pt>
              </c:strCache>
            </c:strRef>
          </c:tx>
          <c:spPr>
            <a:solidFill>
              <a:schemeClr val="accent2"/>
            </a:solidFill>
            <a:ln>
              <a:noFill/>
            </a:ln>
            <a:effectLst/>
          </c:spPr>
          <c:invertIfNegative val="0"/>
          <c:val>
            <c:numRef>
              <c:f>(Financiación!$G$25:$G$36,Financiación!$G$38:$G$48,Financiación!$G$50:$G$60)</c:f>
              <c:numCache>
                <c:formatCode>"$"#,##0_);[Red]\("$"#,##0\)</c:formatCode>
                <c:ptCount val="34"/>
                <c:pt idx="1">
                  <c:v>9806373.3161538783</c:v>
                </c:pt>
                <c:pt idx="2">
                  <c:v>9608941.8679701779</c:v>
                </c:pt>
                <c:pt idx="3">
                  <c:v>9407630.8918296695</c:v>
                </c:pt>
                <c:pt idx="4">
                  <c:v>9202364.1550079994</c:v>
                </c:pt>
                <c:pt idx="5">
                  <c:v>8993063.9268077817</c:v>
                </c:pt>
                <c:pt idx="6">
                  <c:v>8779650.949123431</c:v>
                </c:pt>
                <c:pt idx="7">
                  <c:v>8562044.4064275846</c:v>
                </c:pt>
                <c:pt idx="8">
                  <c:v>8340161.8951677624</c:v>
                </c:pt>
                <c:pt idx="9">
                  <c:v>8113919.3925616853</c:v>
                </c:pt>
                <c:pt idx="10">
                  <c:v>7883231.2247793991</c:v>
                </c:pt>
                <c:pt idx="11">
                  <c:v>7648010.034500191</c:v>
                </c:pt>
                <c:pt idx="12">
                  <c:v>7163610.5405807719</c:v>
                </c:pt>
                <c:pt idx="13">
                  <c:v>6914248.8038570601</c:v>
                </c:pt>
                <c:pt idx="14">
                  <c:v>6659987.109006729</c:v>
                </c:pt>
                <c:pt idx="15">
                  <c:v>6400729.1718525868</c:v>
                </c:pt>
                <c:pt idx="16">
                  <c:v>6136376.8162333667</c:v>
                </c:pt>
                <c:pt idx="17">
                  <c:v>5866829.9368262291</c:v>
                </c:pt>
                <c:pt idx="18">
                  <c:v>5591986.4612387419</c:v>
                </c:pt>
                <c:pt idx="19">
                  <c:v>5311742.3113559596</c:v>
                </c:pt>
                <c:pt idx="20">
                  <c:v>5025991.3639279809</c:v>
                </c:pt>
                <c:pt idx="21">
                  <c:v>4734625.4103830419</c:v>
                </c:pt>
                <c:pt idx="22">
                  <c:v>4437534.115850945</c:v>
                </c:pt>
                <c:pt idx="23">
                  <c:v>3825723.2813407118</c:v>
                </c:pt>
                <c:pt idx="24">
                  <c:v>3510772.0599729335</c:v>
                </c:pt>
                <c:pt idx="25">
                  <c:v>3189632.0471052779</c:v>
                </c:pt>
                <c:pt idx="26">
                  <c:v>2862181.6329847733</c:v>
                </c:pt>
                <c:pt idx="27">
                  <c:v>2528296.8182268003</c:v>
                </c:pt>
                <c:pt idx="28">
                  <c:v>2187851.1668588333</c:v>
                </c:pt>
                <c:pt idx="29">
                  <c:v>1840715.7584414855</c:v>
                </c:pt>
                <c:pt idx="30">
                  <c:v>1486759.1392487381</c:v>
                </c:pt>
                <c:pt idx="31">
                  <c:v>1125847.272488853</c:v>
                </c:pt>
                <c:pt idx="32">
                  <c:v>757843.48754713498</c:v>
                </c:pt>
                <c:pt idx="33">
                  <c:v>382608.42823131196</c:v>
                </c:pt>
              </c:numCache>
            </c:numRef>
          </c:val>
          <c:extLst>
            <c:ext xmlns:c16="http://schemas.microsoft.com/office/drawing/2014/chart" uri="{C3380CC4-5D6E-409C-BE32-E72D297353CC}">
              <c16:uniqueId val="{00000001-EF31-4C5B-913A-83983E65035E}"/>
            </c:ext>
          </c:extLst>
        </c:ser>
        <c:dLbls>
          <c:showLegendKey val="0"/>
          <c:showVal val="0"/>
          <c:showCatName val="0"/>
          <c:showSerName val="0"/>
          <c:showPercent val="0"/>
          <c:showBubbleSize val="0"/>
        </c:dLbls>
        <c:gapWidth val="219"/>
        <c:overlap val="-27"/>
        <c:axId val="279413968"/>
        <c:axId val="279434608"/>
      </c:barChart>
      <c:catAx>
        <c:axId val="279413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34608"/>
        <c:crosses val="autoZero"/>
        <c:auto val="1"/>
        <c:lblAlgn val="ctr"/>
        <c:lblOffset val="100"/>
        <c:noMultiLvlLbl val="0"/>
      </c:catAx>
      <c:valAx>
        <c:axId val="2794346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13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Composicion</a:t>
            </a:r>
            <a:r>
              <a:rPr lang="es-CO" baseline="0"/>
              <a:t> de los Costos Variables</a:t>
            </a:r>
          </a:p>
          <a:p>
            <a:pPr>
              <a:defRPr/>
            </a:pPr>
            <a:r>
              <a:rPr lang="es-CO" baseline="0"/>
              <a:t> por Producto /Servicio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'Costos Variables'!$B$7</c:f>
              <c:strCache>
                <c:ptCount val="1"/>
                <c:pt idx="0">
                  <c:v>Producto / Servicio 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'Costos Variables'!$C$6:$F$6</c:f>
              <c:strCache>
                <c:ptCount val="4"/>
                <c:pt idx="0">
                  <c:v>Costo 1</c:v>
                </c:pt>
                <c:pt idx="1">
                  <c:v>Costo 2</c:v>
                </c:pt>
                <c:pt idx="2">
                  <c:v>Costo 3</c:v>
                </c:pt>
                <c:pt idx="3">
                  <c:v>Costo variable total %</c:v>
                </c:pt>
              </c:strCache>
            </c:strRef>
          </c:cat>
          <c:val>
            <c:numRef>
              <c:f>'Costos Variables'!$C$7:$F$7</c:f>
              <c:numCache>
                <c:formatCode>0.00%</c:formatCode>
                <c:ptCount val="4"/>
                <c:pt idx="0">
                  <c:v>0.1</c:v>
                </c:pt>
                <c:pt idx="1">
                  <c:v>0.15</c:v>
                </c:pt>
                <c:pt idx="2">
                  <c:v>0.2</c:v>
                </c:pt>
                <c:pt idx="3" formatCode="0%">
                  <c:v>0.45</c:v>
                </c:pt>
              </c:numCache>
            </c:numRef>
          </c:val>
          <c:extLst>
            <c:ext xmlns:c16="http://schemas.microsoft.com/office/drawing/2014/chart" uri="{C3380CC4-5D6E-409C-BE32-E72D297353CC}">
              <c16:uniqueId val="{00000000-2DA6-419E-B1D9-BA90BF91B182}"/>
            </c:ext>
          </c:extLst>
        </c:ser>
        <c:ser>
          <c:idx val="1"/>
          <c:order val="1"/>
          <c:tx>
            <c:strRef>
              <c:f>'Costos Variables'!$B$8</c:f>
              <c:strCache>
                <c:ptCount val="1"/>
                <c:pt idx="0">
                  <c:v>Producto / Servicio 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'Costos Variables'!$C$6:$F$6</c:f>
              <c:strCache>
                <c:ptCount val="4"/>
                <c:pt idx="0">
                  <c:v>Costo 1</c:v>
                </c:pt>
                <c:pt idx="1">
                  <c:v>Costo 2</c:v>
                </c:pt>
                <c:pt idx="2">
                  <c:v>Costo 3</c:v>
                </c:pt>
                <c:pt idx="3">
                  <c:v>Costo variable total %</c:v>
                </c:pt>
              </c:strCache>
            </c:strRef>
          </c:cat>
          <c:val>
            <c:numRef>
              <c:f>'Costos Variables'!$C$8:$F$8</c:f>
              <c:numCache>
                <c:formatCode>0.00%</c:formatCode>
                <c:ptCount val="4"/>
                <c:pt idx="0">
                  <c:v>0.05</c:v>
                </c:pt>
                <c:pt idx="1">
                  <c:v>0.12</c:v>
                </c:pt>
                <c:pt idx="2">
                  <c:v>0.1</c:v>
                </c:pt>
                <c:pt idx="3" formatCode="0%">
                  <c:v>0.27</c:v>
                </c:pt>
              </c:numCache>
            </c:numRef>
          </c:val>
          <c:extLst>
            <c:ext xmlns:c16="http://schemas.microsoft.com/office/drawing/2014/chart" uri="{C3380CC4-5D6E-409C-BE32-E72D297353CC}">
              <c16:uniqueId val="{00000001-2DA6-419E-B1D9-BA90BF91B182}"/>
            </c:ext>
          </c:extLst>
        </c:ser>
        <c:ser>
          <c:idx val="2"/>
          <c:order val="2"/>
          <c:tx>
            <c:strRef>
              <c:f>'Costos Variables'!$B$9</c:f>
              <c:strCache>
                <c:ptCount val="1"/>
                <c:pt idx="0">
                  <c:v>Producto / Servicio 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'Costos Variables'!$C$6:$F$6</c:f>
              <c:strCache>
                <c:ptCount val="4"/>
                <c:pt idx="0">
                  <c:v>Costo 1</c:v>
                </c:pt>
                <c:pt idx="1">
                  <c:v>Costo 2</c:v>
                </c:pt>
                <c:pt idx="2">
                  <c:v>Costo 3</c:v>
                </c:pt>
                <c:pt idx="3">
                  <c:v>Costo variable total %</c:v>
                </c:pt>
              </c:strCache>
            </c:strRef>
          </c:cat>
          <c:val>
            <c:numRef>
              <c:f>'Costos Variables'!$C$9:$F$9</c:f>
              <c:numCache>
                <c:formatCode>0.00%</c:formatCode>
                <c:ptCount val="4"/>
                <c:pt idx="0">
                  <c:v>0.02</c:v>
                </c:pt>
                <c:pt idx="1">
                  <c:v>0.08</c:v>
                </c:pt>
                <c:pt idx="2">
                  <c:v>0.09</c:v>
                </c:pt>
                <c:pt idx="3" formatCode="0%">
                  <c:v>0.19</c:v>
                </c:pt>
              </c:numCache>
            </c:numRef>
          </c:val>
          <c:extLst>
            <c:ext xmlns:c16="http://schemas.microsoft.com/office/drawing/2014/chart" uri="{C3380CC4-5D6E-409C-BE32-E72D297353CC}">
              <c16:uniqueId val="{00000002-2DA6-419E-B1D9-BA90BF91B182}"/>
            </c:ext>
          </c:extLst>
        </c:ser>
        <c:ser>
          <c:idx val="3"/>
          <c:order val="3"/>
          <c:tx>
            <c:strRef>
              <c:f>'Costos Variables'!$B$10</c:f>
              <c:strCache>
                <c:ptCount val="1"/>
                <c:pt idx="0">
                  <c:v>Producto / Servicio 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'Costos Variables'!$C$6:$F$6</c:f>
              <c:strCache>
                <c:ptCount val="4"/>
                <c:pt idx="0">
                  <c:v>Costo 1</c:v>
                </c:pt>
                <c:pt idx="1">
                  <c:v>Costo 2</c:v>
                </c:pt>
                <c:pt idx="2">
                  <c:v>Costo 3</c:v>
                </c:pt>
                <c:pt idx="3">
                  <c:v>Costo variable total %</c:v>
                </c:pt>
              </c:strCache>
            </c:strRef>
          </c:cat>
          <c:val>
            <c:numRef>
              <c:f>'Costos Variables'!$C$10:$F$10</c:f>
              <c:numCache>
                <c:formatCode>0.00%</c:formatCode>
                <c:ptCount val="4"/>
                <c:pt idx="0">
                  <c:v>0.01</c:v>
                </c:pt>
                <c:pt idx="1">
                  <c:v>0.08</c:v>
                </c:pt>
                <c:pt idx="2">
                  <c:v>0.1</c:v>
                </c:pt>
                <c:pt idx="3" formatCode="0%">
                  <c:v>0.19</c:v>
                </c:pt>
              </c:numCache>
            </c:numRef>
          </c:val>
          <c:extLst>
            <c:ext xmlns:c16="http://schemas.microsoft.com/office/drawing/2014/chart" uri="{C3380CC4-5D6E-409C-BE32-E72D297353CC}">
              <c16:uniqueId val="{00000003-2DA6-419E-B1D9-BA90BF91B182}"/>
            </c:ext>
          </c:extLst>
        </c:ser>
        <c:dLbls>
          <c:showLegendKey val="0"/>
          <c:showVal val="0"/>
          <c:showCatName val="0"/>
          <c:showSerName val="0"/>
          <c:showPercent val="0"/>
          <c:showBubbleSize val="0"/>
        </c:dLbls>
        <c:gapWidth val="219"/>
        <c:overlap val="-27"/>
        <c:axId val="705799040"/>
        <c:axId val="705798560"/>
      </c:barChart>
      <c:catAx>
        <c:axId val="70579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798560"/>
        <c:crosses val="autoZero"/>
        <c:auto val="1"/>
        <c:lblAlgn val="ctr"/>
        <c:lblOffset val="100"/>
        <c:noMultiLvlLbl val="0"/>
      </c:catAx>
      <c:valAx>
        <c:axId val="70579856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79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Gastos Fijos mensuales en % </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'Gastos Fijos'!$D$8</c:f>
              <c:strCache>
                <c:ptCount val="1"/>
              </c:strCache>
            </c:strRef>
          </c:tx>
          <c:spPr>
            <a:solidFill>
              <a:schemeClr val="accent1"/>
            </a:solidFill>
            <a:ln>
              <a:noFill/>
            </a:ln>
            <a:effectLst/>
          </c:spPr>
          <c:invertIfNegative val="0"/>
          <c:dPt>
            <c:idx val="0"/>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93A1-46BB-B854-CFA89E4B3C2D}"/>
              </c:ext>
            </c:extLst>
          </c:dPt>
          <c:dPt>
            <c:idx val="1"/>
            <c:invertIfNegative val="0"/>
            <c:bubble3D val="0"/>
            <c:spPr>
              <a:solidFill>
                <a:schemeClr val="accent3">
                  <a:lumMod val="75000"/>
                </a:schemeClr>
              </a:solidFill>
              <a:ln>
                <a:noFill/>
              </a:ln>
              <a:effectLst/>
            </c:spPr>
            <c:extLst>
              <c:ext xmlns:c16="http://schemas.microsoft.com/office/drawing/2014/chart" uri="{C3380CC4-5D6E-409C-BE32-E72D297353CC}">
                <c16:uniqueId val="{00000002-93A1-46BB-B854-CFA89E4B3C2D}"/>
              </c:ext>
            </c:extLst>
          </c:dPt>
          <c:dPt>
            <c:idx val="2"/>
            <c:invertIfNegative val="0"/>
            <c:bubble3D val="0"/>
            <c:spPr>
              <a:solidFill>
                <a:schemeClr val="accent4">
                  <a:lumMod val="75000"/>
                </a:schemeClr>
              </a:solidFill>
              <a:ln>
                <a:noFill/>
              </a:ln>
              <a:effectLst/>
            </c:spPr>
            <c:extLst>
              <c:ext xmlns:c16="http://schemas.microsoft.com/office/drawing/2014/chart" uri="{C3380CC4-5D6E-409C-BE32-E72D297353CC}">
                <c16:uniqueId val="{00000003-93A1-46BB-B854-CFA89E4B3C2D}"/>
              </c:ext>
            </c:extLst>
          </c:dPt>
          <c:dPt>
            <c:idx val="3"/>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4-93A1-46BB-B854-CFA89E4B3C2D}"/>
              </c:ext>
            </c:extLst>
          </c:dPt>
          <c:dPt>
            <c:idx val="4"/>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5-93A1-46BB-B854-CFA89E4B3C2D}"/>
              </c:ext>
            </c:extLst>
          </c:dPt>
          <c:dPt>
            <c:idx val="5"/>
            <c:invertIfNegative val="0"/>
            <c:bubble3D val="0"/>
            <c:spPr>
              <a:solidFill>
                <a:srgbClr val="FF0000"/>
              </a:solidFill>
              <a:ln>
                <a:noFill/>
              </a:ln>
              <a:effectLst/>
            </c:spPr>
            <c:extLst>
              <c:ext xmlns:c16="http://schemas.microsoft.com/office/drawing/2014/chart" uri="{C3380CC4-5D6E-409C-BE32-E72D297353CC}">
                <c16:uniqueId val="{00000006-93A1-46BB-B854-CFA89E4B3C2D}"/>
              </c:ext>
            </c:extLst>
          </c:dPt>
          <c:dPt>
            <c:idx val="6"/>
            <c:invertIfNegative val="0"/>
            <c:bubble3D val="0"/>
            <c:spPr>
              <a:solidFill>
                <a:srgbClr val="00B050"/>
              </a:solidFill>
              <a:ln>
                <a:noFill/>
              </a:ln>
              <a:effectLst/>
            </c:spPr>
            <c:extLst>
              <c:ext xmlns:c16="http://schemas.microsoft.com/office/drawing/2014/chart" uri="{C3380CC4-5D6E-409C-BE32-E72D297353CC}">
                <c16:uniqueId val="{00000007-93A1-46BB-B854-CFA89E4B3C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'Gastos Fijos'!$B$9:$B$19</c:f>
              <c:strCache>
                <c:ptCount val="8"/>
                <c:pt idx="0">
                  <c:v>Arrendamiento</c:v>
                </c:pt>
                <c:pt idx="1">
                  <c:v>Servicio Luz </c:v>
                </c:pt>
                <c:pt idx="2">
                  <c:v>Servicio Acueducto </c:v>
                </c:pt>
                <c:pt idx="3">
                  <c:v>Vigilancia y seguridad</c:v>
                </c:pt>
                <c:pt idx="4">
                  <c:v>Transportes </c:v>
                </c:pt>
                <c:pt idx="5">
                  <c:v>Internet </c:v>
                </c:pt>
                <c:pt idx="6">
                  <c:v>Publicidad</c:v>
                </c:pt>
                <c:pt idx="7">
                  <c:v>Total </c:v>
                </c:pt>
              </c:strCache>
            </c:strRef>
          </c:cat>
          <c:val>
            <c:numRef>
              <c:f>'Gastos Fijos'!$D$9:$D$19</c:f>
              <c:numCache>
                <c:formatCode>0%</c:formatCode>
                <c:ptCount val="8"/>
                <c:pt idx="0">
                  <c:v>0.352112676056338</c:v>
                </c:pt>
                <c:pt idx="1">
                  <c:v>4.401408450704225E-2</c:v>
                </c:pt>
                <c:pt idx="2">
                  <c:v>5.2816901408450703E-2</c:v>
                </c:pt>
                <c:pt idx="3">
                  <c:v>0.352112676056338</c:v>
                </c:pt>
                <c:pt idx="4">
                  <c:v>1.4084507042253521E-2</c:v>
                </c:pt>
                <c:pt idx="5">
                  <c:v>8.8028169014084511E-3</c:v>
                </c:pt>
                <c:pt idx="6">
                  <c:v>0.176056338028169</c:v>
                </c:pt>
                <c:pt idx="7">
                  <c:v>1</c:v>
                </c:pt>
              </c:numCache>
            </c:numRef>
          </c:val>
          <c:extLst>
            <c:ext xmlns:c16="http://schemas.microsoft.com/office/drawing/2014/chart" uri="{C3380CC4-5D6E-409C-BE32-E72D297353CC}">
              <c16:uniqueId val="{00000000-93A1-46BB-B854-CFA89E4B3C2D}"/>
            </c:ext>
          </c:extLst>
        </c:ser>
        <c:dLbls>
          <c:showLegendKey val="0"/>
          <c:showVal val="0"/>
          <c:showCatName val="0"/>
          <c:showSerName val="0"/>
          <c:showPercent val="0"/>
          <c:showBubbleSize val="0"/>
        </c:dLbls>
        <c:gapWidth val="219"/>
        <c:overlap val="-27"/>
        <c:axId val="279435088"/>
        <c:axId val="279429808"/>
      </c:barChart>
      <c:catAx>
        <c:axId val="27943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29808"/>
        <c:crosses val="autoZero"/>
        <c:auto val="1"/>
        <c:lblAlgn val="ctr"/>
        <c:lblOffset val="100"/>
        <c:noMultiLvlLbl val="0"/>
      </c:catAx>
      <c:valAx>
        <c:axId val="2794298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35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Analisis</a:t>
            </a:r>
            <a:r>
              <a:rPr lang="es-CO" baseline="0"/>
              <a:t> para Punto de Equilibrio</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'Punto de Equilibrio'!$B$37</c:f>
              <c:strCache>
                <c:ptCount val="1"/>
                <c:pt idx="0">
                  <c:v>Precio Valor Unitario Promedio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Equilibrio'!$C$37:$E$37</c:f>
              <c:numCache>
                <c:formatCode>_-* #,##0_-;\-* #,##0_-;_-* "-"??_-;_-@_-</c:formatCode>
                <c:ptCount val="3"/>
                <c:pt idx="0">
                  <c:v>137500</c:v>
                </c:pt>
                <c:pt idx="1">
                  <c:v>148500</c:v>
                </c:pt>
                <c:pt idx="2">
                  <c:v>160380</c:v>
                </c:pt>
              </c:numCache>
            </c:numRef>
          </c:val>
          <c:extLst>
            <c:ext xmlns:c16="http://schemas.microsoft.com/office/drawing/2014/chart" uri="{C3380CC4-5D6E-409C-BE32-E72D297353CC}">
              <c16:uniqueId val="{00000000-AEC5-4CEE-856C-5D3C3415DB83}"/>
            </c:ext>
          </c:extLst>
        </c:ser>
        <c:ser>
          <c:idx val="1"/>
          <c:order val="1"/>
          <c:tx>
            <c:strRef>
              <c:f>'Punto de Equilibrio'!$B$38</c:f>
              <c:strCache>
                <c:ptCount val="1"/>
                <c:pt idx="0">
                  <c:v>Costo Variable Unitario  Promedio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Equilibrio'!$C$38:$E$38</c:f>
              <c:numCache>
                <c:formatCode>_-* #,##0_-;\-* #,##0_-;_-* "-"??_-;_-@_-</c:formatCode>
                <c:ptCount val="3"/>
                <c:pt idx="0">
                  <c:v>39275</c:v>
                </c:pt>
                <c:pt idx="1">
                  <c:v>42417</c:v>
                </c:pt>
                <c:pt idx="2">
                  <c:v>45810.36</c:v>
                </c:pt>
              </c:numCache>
            </c:numRef>
          </c:val>
          <c:extLst>
            <c:ext xmlns:c16="http://schemas.microsoft.com/office/drawing/2014/chart" uri="{C3380CC4-5D6E-409C-BE32-E72D297353CC}">
              <c16:uniqueId val="{00000001-AEC5-4CEE-856C-5D3C3415DB83}"/>
            </c:ext>
          </c:extLst>
        </c:ser>
        <c:ser>
          <c:idx val="2"/>
          <c:order val="2"/>
          <c:tx>
            <c:strRef>
              <c:f>'Punto de Equilibrio'!$B$39</c:f>
              <c:strCache>
                <c:ptCount val="1"/>
                <c:pt idx="0">
                  <c:v>Utilidad Unitaria  Promedio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Equilibrio'!$C$39:$E$39</c:f>
              <c:numCache>
                <c:formatCode>_-* #,##0_-;\-* #,##0_-;_-* "-"??_-;_-@_-</c:formatCode>
                <c:ptCount val="3"/>
                <c:pt idx="0">
                  <c:v>98225</c:v>
                </c:pt>
                <c:pt idx="1">
                  <c:v>106083</c:v>
                </c:pt>
                <c:pt idx="2">
                  <c:v>114569.64</c:v>
                </c:pt>
              </c:numCache>
            </c:numRef>
          </c:val>
          <c:extLst>
            <c:ext xmlns:c16="http://schemas.microsoft.com/office/drawing/2014/chart" uri="{C3380CC4-5D6E-409C-BE32-E72D297353CC}">
              <c16:uniqueId val="{00000002-AEC5-4CEE-856C-5D3C3415DB83}"/>
            </c:ext>
          </c:extLst>
        </c:ser>
        <c:dLbls>
          <c:showLegendKey val="0"/>
          <c:showVal val="0"/>
          <c:showCatName val="0"/>
          <c:showSerName val="0"/>
          <c:showPercent val="0"/>
          <c:showBubbleSize val="0"/>
        </c:dLbls>
        <c:gapWidth val="219"/>
        <c:overlap val="-27"/>
        <c:axId val="1787548719"/>
        <c:axId val="1058967199"/>
      </c:barChart>
      <c:catAx>
        <c:axId val="178754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8967199"/>
        <c:crosses val="autoZero"/>
        <c:auto val="1"/>
        <c:lblAlgn val="ctr"/>
        <c:lblOffset val="100"/>
        <c:noMultiLvlLbl val="0"/>
      </c:catAx>
      <c:valAx>
        <c:axId val="1058967199"/>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7875487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Punto de equilibrio en Unidades vendidas</a:t>
            </a:r>
            <a:r>
              <a:rPr lang="es-CO" baseline="0"/>
              <a:t>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'Punto de Equilibrio'!$B$42</c:f>
              <c:strCache>
                <c:ptCount val="1"/>
                <c:pt idx="0">
                  <c:v>Unidades Promedio Vendidas Año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Equilibrio'!$C$41:$E$41</c:f>
              <c:strCache>
                <c:ptCount val="3"/>
                <c:pt idx="0">
                  <c:v>Año 1 </c:v>
                </c:pt>
                <c:pt idx="1">
                  <c:v>Año 2 </c:v>
                </c:pt>
                <c:pt idx="2">
                  <c:v>Año 3 </c:v>
                </c:pt>
              </c:strCache>
            </c:strRef>
          </c:cat>
          <c:val>
            <c:numRef>
              <c:f>'Punto de Equilibrio'!$C$42:$E$42</c:f>
              <c:numCache>
                <c:formatCode>#,##0</c:formatCode>
                <c:ptCount val="3"/>
                <c:pt idx="0">
                  <c:v>34420</c:v>
                </c:pt>
                <c:pt idx="1">
                  <c:v>36141</c:v>
                </c:pt>
                <c:pt idx="2">
                  <c:v>37658.922000000006</c:v>
                </c:pt>
              </c:numCache>
            </c:numRef>
          </c:val>
          <c:extLst>
            <c:ext xmlns:c16="http://schemas.microsoft.com/office/drawing/2014/chart" uri="{C3380CC4-5D6E-409C-BE32-E72D297353CC}">
              <c16:uniqueId val="{00000000-634F-4E70-9D87-BCD82154E4B3}"/>
            </c:ext>
          </c:extLst>
        </c:ser>
        <c:ser>
          <c:idx val="1"/>
          <c:order val="1"/>
          <c:tx>
            <c:strRef>
              <c:f>'Punto de Equilibrio'!$B$43</c:f>
              <c:strCache>
                <c:ptCount val="1"/>
                <c:pt idx="0">
                  <c:v>Punto de equilibrio en Unidades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Equilibrio'!$C$41:$E$41</c:f>
              <c:strCache>
                <c:ptCount val="3"/>
                <c:pt idx="0">
                  <c:v>Año 1 </c:v>
                </c:pt>
                <c:pt idx="1">
                  <c:v>Año 2 </c:v>
                </c:pt>
                <c:pt idx="2">
                  <c:v>Año 3 </c:v>
                </c:pt>
              </c:strCache>
            </c:strRef>
          </c:cat>
          <c:val>
            <c:numRef>
              <c:f>'Punto de Equilibrio'!$C$43:$E$43</c:f>
              <c:numCache>
                <c:formatCode>_-* #,##0_-;\-* #,##0_-;_-* "-"??_-;_-@_-</c:formatCode>
                <c:ptCount val="3"/>
                <c:pt idx="0">
                  <c:v>1341.4973672727272</c:v>
                </c:pt>
                <c:pt idx="1">
                  <c:v>1371.3694211447812</c:v>
                </c:pt>
                <c:pt idx="2">
                  <c:v>1392.3196643172466</c:v>
                </c:pt>
              </c:numCache>
            </c:numRef>
          </c:val>
          <c:extLst>
            <c:ext xmlns:c16="http://schemas.microsoft.com/office/drawing/2014/chart" uri="{C3380CC4-5D6E-409C-BE32-E72D297353CC}">
              <c16:uniqueId val="{00000001-634F-4E70-9D87-BCD82154E4B3}"/>
            </c:ext>
          </c:extLst>
        </c:ser>
        <c:dLbls>
          <c:showLegendKey val="0"/>
          <c:showVal val="0"/>
          <c:showCatName val="0"/>
          <c:showSerName val="0"/>
          <c:showPercent val="0"/>
          <c:showBubbleSize val="0"/>
        </c:dLbls>
        <c:gapWidth val="219"/>
        <c:overlap val="-27"/>
        <c:axId val="1057775343"/>
        <c:axId val="1057775823"/>
      </c:barChart>
      <c:catAx>
        <c:axId val="1057775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7775823"/>
        <c:crosses val="autoZero"/>
        <c:auto val="1"/>
        <c:lblAlgn val="ctr"/>
        <c:lblOffset val="100"/>
        <c:noMultiLvlLbl val="0"/>
      </c:catAx>
      <c:valAx>
        <c:axId val="105777582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7775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Comportamiento de Las </a:t>
            </a:r>
            <a:r>
              <a:rPr lang="es-CO" b="1"/>
              <a:t>Cantidades</a:t>
            </a:r>
            <a:r>
              <a:rPr lang="es-CO"/>
              <a:t> de Productos</a:t>
            </a:r>
            <a:r>
              <a:rPr lang="es-CO" baseline="0"/>
              <a:t> / Servicios </a:t>
            </a:r>
          </a:p>
          <a:p>
            <a:pPr>
              <a:defRPr/>
            </a:pPr>
            <a:r>
              <a:rPr lang="es-CO" baseline="0"/>
              <a:t>Cosecha </a:t>
            </a:r>
            <a:r>
              <a:rPr lang="es-CO"/>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5.6346523351549029E-2"/>
          <c:y val="0.17131639722863742"/>
          <c:w val="0.92397433447310517"/>
          <c:h val="0.61587350657380302"/>
        </c:manualLayout>
      </c:layout>
      <c:barChart>
        <c:barDir val="col"/>
        <c:grouping val="clustered"/>
        <c:varyColors val="0"/>
        <c:ser>
          <c:idx val="0"/>
          <c:order val="0"/>
          <c:tx>
            <c:strRef>
              <c:f>Ventas!$B$26</c:f>
              <c:strCache>
                <c:ptCount val="1"/>
                <c:pt idx="0">
                  <c:v>Año 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Ventas!$C$13:$G$13</c:f>
              <c:strCache>
                <c:ptCount val="5"/>
                <c:pt idx="0">
                  <c:v>Producto / Servicio 1</c:v>
                </c:pt>
                <c:pt idx="1">
                  <c:v>Producto / Servicio 2</c:v>
                </c:pt>
                <c:pt idx="2">
                  <c:v>Producto / Servicio 3</c:v>
                </c:pt>
                <c:pt idx="3">
                  <c:v>Producto / Servicio 4</c:v>
                </c:pt>
                <c:pt idx="4">
                  <c:v>Total</c:v>
                </c:pt>
              </c:strCache>
            </c:strRef>
          </c:cat>
          <c:val>
            <c:numRef>
              <c:f>Ventas!$C$26:$G$26</c:f>
              <c:numCache>
                <c:formatCode>#,##0</c:formatCode>
                <c:ptCount val="5"/>
                <c:pt idx="0">
                  <c:v>7600</c:v>
                </c:pt>
                <c:pt idx="1">
                  <c:v>4120</c:v>
                </c:pt>
                <c:pt idx="2">
                  <c:v>6800</c:v>
                </c:pt>
                <c:pt idx="3">
                  <c:v>15900</c:v>
                </c:pt>
                <c:pt idx="4">
                  <c:v>34420</c:v>
                </c:pt>
              </c:numCache>
            </c:numRef>
          </c:val>
          <c:extLst>
            <c:ext xmlns:c16="http://schemas.microsoft.com/office/drawing/2014/chart" uri="{C3380CC4-5D6E-409C-BE32-E72D297353CC}">
              <c16:uniqueId val="{00000000-0764-4098-8B4F-F3A0DAEAAD17}"/>
            </c:ext>
          </c:extLst>
        </c:ser>
        <c:ser>
          <c:idx val="1"/>
          <c:order val="1"/>
          <c:tx>
            <c:strRef>
              <c:f>Ventas!$B$27</c:f>
              <c:strCache>
                <c:ptCount val="1"/>
                <c:pt idx="0">
                  <c:v>Año 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Ventas!$C$13:$G$13</c:f>
              <c:strCache>
                <c:ptCount val="5"/>
                <c:pt idx="0">
                  <c:v>Producto / Servicio 1</c:v>
                </c:pt>
                <c:pt idx="1">
                  <c:v>Producto / Servicio 2</c:v>
                </c:pt>
                <c:pt idx="2">
                  <c:v>Producto / Servicio 3</c:v>
                </c:pt>
                <c:pt idx="3">
                  <c:v>Producto / Servicio 4</c:v>
                </c:pt>
                <c:pt idx="4">
                  <c:v>Total</c:v>
                </c:pt>
              </c:strCache>
            </c:strRef>
          </c:cat>
          <c:val>
            <c:numRef>
              <c:f>Ventas!$C$27:$G$27</c:f>
              <c:numCache>
                <c:formatCode>0</c:formatCode>
                <c:ptCount val="5"/>
                <c:pt idx="0">
                  <c:v>7980</c:v>
                </c:pt>
                <c:pt idx="1">
                  <c:v>4326</c:v>
                </c:pt>
                <c:pt idx="2">
                  <c:v>7140</c:v>
                </c:pt>
                <c:pt idx="3">
                  <c:v>16695</c:v>
                </c:pt>
                <c:pt idx="4" formatCode="#,##0">
                  <c:v>36141</c:v>
                </c:pt>
              </c:numCache>
            </c:numRef>
          </c:val>
          <c:extLst>
            <c:ext xmlns:c16="http://schemas.microsoft.com/office/drawing/2014/chart" uri="{C3380CC4-5D6E-409C-BE32-E72D297353CC}">
              <c16:uniqueId val="{00000001-0764-4098-8B4F-F3A0DAEAAD17}"/>
            </c:ext>
          </c:extLst>
        </c:ser>
        <c:ser>
          <c:idx val="2"/>
          <c:order val="2"/>
          <c:tx>
            <c:strRef>
              <c:f>Ventas!$B$28</c:f>
              <c:strCache>
                <c:ptCount val="1"/>
                <c:pt idx="0">
                  <c:v>Año 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Ventas!$C$13:$G$13</c:f>
              <c:strCache>
                <c:ptCount val="5"/>
                <c:pt idx="0">
                  <c:v>Producto / Servicio 1</c:v>
                </c:pt>
                <c:pt idx="1">
                  <c:v>Producto / Servicio 2</c:v>
                </c:pt>
                <c:pt idx="2">
                  <c:v>Producto / Servicio 3</c:v>
                </c:pt>
                <c:pt idx="3">
                  <c:v>Producto / Servicio 4</c:v>
                </c:pt>
                <c:pt idx="4">
                  <c:v>Total</c:v>
                </c:pt>
              </c:strCache>
            </c:strRef>
          </c:cat>
          <c:val>
            <c:numRef>
              <c:f>Ventas!$C$28:$G$28</c:f>
              <c:numCache>
                <c:formatCode>#,##0</c:formatCode>
                <c:ptCount val="5"/>
                <c:pt idx="0">
                  <c:v>8315.16</c:v>
                </c:pt>
                <c:pt idx="1">
                  <c:v>4507.692</c:v>
                </c:pt>
                <c:pt idx="2">
                  <c:v>7439.88</c:v>
                </c:pt>
                <c:pt idx="3">
                  <c:v>17396.190000000002</c:v>
                </c:pt>
                <c:pt idx="4">
                  <c:v>37658.922000000006</c:v>
                </c:pt>
              </c:numCache>
            </c:numRef>
          </c:val>
          <c:extLst>
            <c:ext xmlns:c16="http://schemas.microsoft.com/office/drawing/2014/chart" uri="{C3380CC4-5D6E-409C-BE32-E72D297353CC}">
              <c16:uniqueId val="{00000002-0764-4098-8B4F-F3A0DAEAAD17}"/>
            </c:ext>
          </c:extLst>
        </c:ser>
        <c:ser>
          <c:idx val="3"/>
          <c:order val="3"/>
          <c:tx>
            <c:strRef>
              <c:f>Ventas!$B$29</c:f>
              <c:strCache>
                <c:ptCount val="1"/>
                <c:pt idx="0">
                  <c:v>Año 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Ventas!$C$13:$G$13</c:f>
              <c:strCache>
                <c:ptCount val="5"/>
                <c:pt idx="0">
                  <c:v>Producto / Servicio 1</c:v>
                </c:pt>
                <c:pt idx="1">
                  <c:v>Producto / Servicio 2</c:v>
                </c:pt>
                <c:pt idx="2">
                  <c:v>Producto / Servicio 3</c:v>
                </c:pt>
                <c:pt idx="3">
                  <c:v>Producto / Servicio 4</c:v>
                </c:pt>
                <c:pt idx="4">
                  <c:v>Total</c:v>
                </c:pt>
              </c:strCache>
            </c:strRef>
          </c:cat>
          <c:val>
            <c:numRef>
              <c:f>Ventas!$C$29:$G$29</c:f>
              <c:numCache>
                <c:formatCode>#,##0</c:formatCode>
                <c:ptCount val="5"/>
                <c:pt idx="0">
                  <c:v>8664.3967200000006</c:v>
                </c:pt>
                <c:pt idx="1">
                  <c:v>4697.0150640000002</c:v>
                </c:pt>
                <c:pt idx="2">
                  <c:v>7752.3549600000006</c:v>
                </c:pt>
                <c:pt idx="3">
                  <c:v>18126.829980000002</c:v>
                </c:pt>
                <c:pt idx="4">
                  <c:v>39240.596724000003</c:v>
                </c:pt>
              </c:numCache>
            </c:numRef>
          </c:val>
          <c:extLst>
            <c:ext xmlns:c16="http://schemas.microsoft.com/office/drawing/2014/chart" uri="{C3380CC4-5D6E-409C-BE32-E72D297353CC}">
              <c16:uniqueId val="{00000003-0764-4098-8B4F-F3A0DAEAAD17}"/>
            </c:ext>
          </c:extLst>
        </c:ser>
        <c:ser>
          <c:idx val="4"/>
          <c:order val="4"/>
          <c:tx>
            <c:strRef>
              <c:f>Ventas!$B$30</c:f>
              <c:strCache>
                <c:ptCount val="1"/>
                <c:pt idx="0">
                  <c:v>Año 5</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Ventas!$C$13:$G$13</c:f>
              <c:strCache>
                <c:ptCount val="5"/>
                <c:pt idx="0">
                  <c:v>Producto / Servicio 1</c:v>
                </c:pt>
                <c:pt idx="1">
                  <c:v>Producto / Servicio 2</c:v>
                </c:pt>
                <c:pt idx="2">
                  <c:v>Producto / Servicio 3</c:v>
                </c:pt>
                <c:pt idx="3">
                  <c:v>Producto / Servicio 4</c:v>
                </c:pt>
                <c:pt idx="4">
                  <c:v>Total</c:v>
                </c:pt>
              </c:strCache>
            </c:strRef>
          </c:cat>
          <c:val>
            <c:numRef>
              <c:f>Ventas!$C$30:$G$30</c:f>
              <c:numCache>
                <c:formatCode>#,##0</c:formatCode>
                <c:ptCount val="5"/>
                <c:pt idx="0">
                  <c:v>9028.3013822400007</c:v>
                </c:pt>
                <c:pt idx="1">
                  <c:v>4894.2896966880007</c:v>
                </c:pt>
                <c:pt idx="2">
                  <c:v>8077.9538683200008</c:v>
                </c:pt>
                <c:pt idx="3">
                  <c:v>18888.156839160001</c:v>
                </c:pt>
                <c:pt idx="4">
                  <c:v>40888.701786408004</c:v>
                </c:pt>
              </c:numCache>
            </c:numRef>
          </c:val>
          <c:extLst>
            <c:ext xmlns:c16="http://schemas.microsoft.com/office/drawing/2014/chart" uri="{C3380CC4-5D6E-409C-BE32-E72D297353CC}">
              <c16:uniqueId val="{00000004-0764-4098-8B4F-F3A0DAEAAD17}"/>
            </c:ext>
          </c:extLst>
        </c:ser>
        <c:dLbls>
          <c:showLegendKey val="0"/>
          <c:showVal val="0"/>
          <c:showCatName val="0"/>
          <c:showSerName val="0"/>
          <c:showPercent val="0"/>
          <c:showBubbleSize val="0"/>
        </c:dLbls>
        <c:gapWidth val="219"/>
        <c:overlap val="-27"/>
        <c:axId val="730422256"/>
        <c:axId val="730419856"/>
      </c:barChart>
      <c:catAx>
        <c:axId val="73042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0419856"/>
        <c:crosses val="autoZero"/>
        <c:auto val="1"/>
        <c:lblAlgn val="ctr"/>
        <c:lblOffset val="100"/>
        <c:noMultiLvlLbl val="0"/>
      </c:catAx>
      <c:valAx>
        <c:axId val="7304198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0422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400" b="0" i="0" u="none" strike="noStrike" kern="1200" spc="0" baseline="0">
                <a:solidFill>
                  <a:sysClr val="windowText" lastClr="000000">
                    <a:lumMod val="65000"/>
                    <a:lumOff val="35000"/>
                  </a:sysClr>
                </a:solidFill>
              </a:rPr>
              <a:t>Comportamiento de Las </a:t>
            </a:r>
            <a:r>
              <a:rPr lang="es-CO" sz="1400" b="1" i="0" u="none" strike="noStrike" kern="1200" spc="0" baseline="0">
                <a:solidFill>
                  <a:sysClr val="windowText" lastClr="000000">
                    <a:lumMod val="65000"/>
                    <a:lumOff val="35000"/>
                  </a:sysClr>
                </a:solidFill>
              </a:rPr>
              <a:t>Ventas </a:t>
            </a:r>
            <a:r>
              <a:rPr lang="es-CO" sz="1400" b="0" i="0" u="none" strike="noStrike" kern="1200" spc="0" baseline="0">
                <a:solidFill>
                  <a:sysClr val="windowText" lastClr="000000">
                    <a:lumMod val="65000"/>
                    <a:lumOff val="35000"/>
                  </a:sysClr>
                </a:solidFill>
              </a:rPr>
              <a:t>de Productos / Servicios </a:t>
            </a:r>
          </a:p>
          <a:p>
            <a:pPr>
              <a:defRPr/>
            </a:pPr>
            <a:r>
              <a:rPr lang="es-CO" sz="1400" b="0" i="0" u="none" strike="noStrike" kern="1200" spc="0" baseline="0">
                <a:solidFill>
                  <a:sysClr val="windowText" lastClr="000000">
                    <a:lumMod val="65000"/>
                    <a:lumOff val="35000"/>
                  </a:sysClr>
                </a:solidFill>
              </a:rPr>
              <a:t>Cosecha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Ventas!$I$26</c:f>
              <c:strCache>
                <c:ptCount val="1"/>
                <c:pt idx="0">
                  <c:v>Año 1</c:v>
                </c:pt>
              </c:strCache>
            </c:strRef>
          </c:tx>
          <c:spPr>
            <a:solidFill>
              <a:schemeClr val="accent1"/>
            </a:solidFill>
            <a:ln>
              <a:noFill/>
            </a:ln>
            <a:effectLst/>
          </c:spPr>
          <c:invertIfNegative val="0"/>
          <c:cat>
            <c:strRef>
              <c:f>Ventas!$J$13:$N$13</c:f>
              <c:strCache>
                <c:ptCount val="5"/>
                <c:pt idx="0">
                  <c:v>Producto / Servicio 1</c:v>
                </c:pt>
                <c:pt idx="1">
                  <c:v>Producto / Servicio 2</c:v>
                </c:pt>
                <c:pt idx="2">
                  <c:v>Producto / Servicio 3</c:v>
                </c:pt>
                <c:pt idx="3">
                  <c:v>Producto / Servicio 4</c:v>
                </c:pt>
                <c:pt idx="4">
                  <c:v>Total</c:v>
                </c:pt>
              </c:strCache>
            </c:strRef>
          </c:cat>
          <c:val>
            <c:numRef>
              <c:f>Ventas!$J$26:$N$26</c:f>
              <c:numCache>
                <c:formatCode>_("$"* #,##0_);_("$"* \(#,##0\);_("$"* "-"_);_(@_)</c:formatCode>
                <c:ptCount val="5"/>
                <c:pt idx="0">
                  <c:v>1140000000</c:v>
                </c:pt>
                <c:pt idx="1">
                  <c:v>700400000</c:v>
                </c:pt>
                <c:pt idx="2">
                  <c:v>816000000</c:v>
                </c:pt>
                <c:pt idx="3">
                  <c:v>1749000000</c:v>
                </c:pt>
                <c:pt idx="4">
                  <c:v>4405400000</c:v>
                </c:pt>
              </c:numCache>
            </c:numRef>
          </c:val>
          <c:extLst>
            <c:ext xmlns:c16="http://schemas.microsoft.com/office/drawing/2014/chart" uri="{C3380CC4-5D6E-409C-BE32-E72D297353CC}">
              <c16:uniqueId val="{00000000-831F-42AF-B5E7-BB9D9ECD4B35}"/>
            </c:ext>
          </c:extLst>
        </c:ser>
        <c:ser>
          <c:idx val="1"/>
          <c:order val="1"/>
          <c:tx>
            <c:strRef>
              <c:f>Ventas!$I$27</c:f>
              <c:strCache>
                <c:ptCount val="1"/>
                <c:pt idx="0">
                  <c:v>Año 2</c:v>
                </c:pt>
              </c:strCache>
            </c:strRef>
          </c:tx>
          <c:spPr>
            <a:solidFill>
              <a:schemeClr val="accent2"/>
            </a:solidFill>
            <a:ln>
              <a:noFill/>
            </a:ln>
            <a:effectLst/>
          </c:spPr>
          <c:invertIfNegative val="0"/>
          <c:cat>
            <c:strRef>
              <c:f>Ventas!$J$13:$N$13</c:f>
              <c:strCache>
                <c:ptCount val="5"/>
                <c:pt idx="0">
                  <c:v>Producto / Servicio 1</c:v>
                </c:pt>
                <c:pt idx="1">
                  <c:v>Producto / Servicio 2</c:v>
                </c:pt>
                <c:pt idx="2">
                  <c:v>Producto / Servicio 3</c:v>
                </c:pt>
                <c:pt idx="3">
                  <c:v>Producto / Servicio 4</c:v>
                </c:pt>
                <c:pt idx="4">
                  <c:v>Total</c:v>
                </c:pt>
              </c:strCache>
            </c:strRef>
          </c:cat>
          <c:val>
            <c:numRef>
              <c:f>Ventas!$J$27:$N$27</c:f>
              <c:numCache>
                <c:formatCode>_("$"* #,##0_);_("$"* \(#,##0\);_("$"* "-"_);_(@_)</c:formatCode>
                <c:ptCount val="5"/>
                <c:pt idx="0">
                  <c:v>1197000000</c:v>
                </c:pt>
                <c:pt idx="1">
                  <c:v>735420000</c:v>
                </c:pt>
                <c:pt idx="2">
                  <c:v>856800000</c:v>
                </c:pt>
                <c:pt idx="3">
                  <c:v>1836450000</c:v>
                </c:pt>
                <c:pt idx="4">
                  <c:v>4625670000</c:v>
                </c:pt>
              </c:numCache>
            </c:numRef>
          </c:val>
          <c:extLst>
            <c:ext xmlns:c16="http://schemas.microsoft.com/office/drawing/2014/chart" uri="{C3380CC4-5D6E-409C-BE32-E72D297353CC}">
              <c16:uniqueId val="{00000001-831F-42AF-B5E7-BB9D9ECD4B35}"/>
            </c:ext>
          </c:extLst>
        </c:ser>
        <c:ser>
          <c:idx val="2"/>
          <c:order val="2"/>
          <c:tx>
            <c:strRef>
              <c:f>Ventas!$I$28</c:f>
              <c:strCache>
                <c:ptCount val="1"/>
                <c:pt idx="0">
                  <c:v>Año 3</c:v>
                </c:pt>
              </c:strCache>
            </c:strRef>
          </c:tx>
          <c:spPr>
            <a:solidFill>
              <a:schemeClr val="accent3"/>
            </a:solidFill>
            <a:ln>
              <a:noFill/>
            </a:ln>
            <a:effectLst/>
          </c:spPr>
          <c:invertIfNegative val="0"/>
          <c:cat>
            <c:strRef>
              <c:f>Ventas!$J$13:$N$13</c:f>
              <c:strCache>
                <c:ptCount val="5"/>
                <c:pt idx="0">
                  <c:v>Producto / Servicio 1</c:v>
                </c:pt>
                <c:pt idx="1">
                  <c:v>Producto / Servicio 2</c:v>
                </c:pt>
                <c:pt idx="2">
                  <c:v>Producto / Servicio 3</c:v>
                </c:pt>
                <c:pt idx="3">
                  <c:v>Producto / Servicio 4</c:v>
                </c:pt>
                <c:pt idx="4">
                  <c:v>Total</c:v>
                </c:pt>
              </c:strCache>
            </c:strRef>
          </c:cat>
          <c:val>
            <c:numRef>
              <c:f>Ventas!$J$28:$N$28</c:f>
              <c:numCache>
                <c:formatCode>_("$"* #,##0_);_("$"* \(#,##0\);_("$"* "-"_);_(@_)</c:formatCode>
                <c:ptCount val="5"/>
                <c:pt idx="0">
                  <c:v>1247274000</c:v>
                </c:pt>
                <c:pt idx="1">
                  <c:v>766307640</c:v>
                </c:pt>
                <c:pt idx="2">
                  <c:v>892785600</c:v>
                </c:pt>
                <c:pt idx="3">
                  <c:v>1913580900</c:v>
                </c:pt>
                <c:pt idx="4">
                  <c:v>4819948140</c:v>
                </c:pt>
              </c:numCache>
            </c:numRef>
          </c:val>
          <c:extLst>
            <c:ext xmlns:c16="http://schemas.microsoft.com/office/drawing/2014/chart" uri="{C3380CC4-5D6E-409C-BE32-E72D297353CC}">
              <c16:uniqueId val="{00000002-831F-42AF-B5E7-BB9D9ECD4B35}"/>
            </c:ext>
          </c:extLst>
        </c:ser>
        <c:ser>
          <c:idx val="3"/>
          <c:order val="3"/>
          <c:tx>
            <c:strRef>
              <c:f>Ventas!$I$29</c:f>
              <c:strCache>
                <c:ptCount val="1"/>
                <c:pt idx="0">
                  <c:v>Año 4</c:v>
                </c:pt>
              </c:strCache>
            </c:strRef>
          </c:tx>
          <c:spPr>
            <a:solidFill>
              <a:schemeClr val="accent4"/>
            </a:solidFill>
            <a:ln>
              <a:noFill/>
            </a:ln>
            <a:effectLst/>
          </c:spPr>
          <c:invertIfNegative val="0"/>
          <c:cat>
            <c:strRef>
              <c:f>Ventas!$J$13:$N$13</c:f>
              <c:strCache>
                <c:ptCount val="5"/>
                <c:pt idx="0">
                  <c:v>Producto / Servicio 1</c:v>
                </c:pt>
                <c:pt idx="1">
                  <c:v>Producto / Servicio 2</c:v>
                </c:pt>
                <c:pt idx="2">
                  <c:v>Producto / Servicio 3</c:v>
                </c:pt>
                <c:pt idx="3">
                  <c:v>Producto / Servicio 4</c:v>
                </c:pt>
                <c:pt idx="4">
                  <c:v>Total</c:v>
                </c:pt>
              </c:strCache>
            </c:strRef>
          </c:cat>
          <c:val>
            <c:numRef>
              <c:f>Ventas!$J$29:$N$29</c:f>
              <c:numCache>
                <c:formatCode>_("$"* #,##0_);_("$"* \(#,##0\);_("$"* "-"_);_(@_)</c:formatCode>
                <c:ptCount val="5"/>
                <c:pt idx="0">
                  <c:v>1299659508</c:v>
                </c:pt>
                <c:pt idx="1">
                  <c:v>798492560.88</c:v>
                </c:pt>
                <c:pt idx="2">
                  <c:v>930282595.20000005</c:v>
                </c:pt>
                <c:pt idx="3">
                  <c:v>1993951297.8</c:v>
                </c:pt>
                <c:pt idx="4">
                  <c:v>5022385961.8800001</c:v>
                </c:pt>
              </c:numCache>
            </c:numRef>
          </c:val>
          <c:extLst>
            <c:ext xmlns:c16="http://schemas.microsoft.com/office/drawing/2014/chart" uri="{C3380CC4-5D6E-409C-BE32-E72D297353CC}">
              <c16:uniqueId val="{00000003-831F-42AF-B5E7-BB9D9ECD4B35}"/>
            </c:ext>
          </c:extLst>
        </c:ser>
        <c:ser>
          <c:idx val="4"/>
          <c:order val="4"/>
          <c:tx>
            <c:strRef>
              <c:f>Ventas!$I$30</c:f>
              <c:strCache>
                <c:ptCount val="1"/>
                <c:pt idx="0">
                  <c:v>Año 5</c:v>
                </c:pt>
              </c:strCache>
            </c:strRef>
          </c:tx>
          <c:spPr>
            <a:solidFill>
              <a:schemeClr val="accent5"/>
            </a:solidFill>
            <a:ln>
              <a:noFill/>
            </a:ln>
            <a:effectLst/>
          </c:spPr>
          <c:invertIfNegative val="0"/>
          <c:cat>
            <c:strRef>
              <c:f>Ventas!$J$13:$N$13</c:f>
              <c:strCache>
                <c:ptCount val="5"/>
                <c:pt idx="0">
                  <c:v>Producto / Servicio 1</c:v>
                </c:pt>
                <c:pt idx="1">
                  <c:v>Producto / Servicio 2</c:v>
                </c:pt>
                <c:pt idx="2">
                  <c:v>Producto / Servicio 3</c:v>
                </c:pt>
                <c:pt idx="3">
                  <c:v>Producto / Servicio 4</c:v>
                </c:pt>
                <c:pt idx="4">
                  <c:v>Total</c:v>
                </c:pt>
              </c:strCache>
            </c:strRef>
          </c:cat>
          <c:val>
            <c:numRef>
              <c:f>Ventas!$J$30:$N$30</c:f>
              <c:numCache>
                <c:formatCode>_("$"* #,##0_);_("$"* \(#,##0\);_("$"* "-"_);_(@_)</c:formatCode>
                <c:ptCount val="5"/>
                <c:pt idx="0">
                  <c:v>1354245207.336</c:v>
                </c:pt>
                <c:pt idx="1">
                  <c:v>832029248.43695998</c:v>
                </c:pt>
                <c:pt idx="2">
                  <c:v>969354464.19840014</c:v>
                </c:pt>
                <c:pt idx="3">
                  <c:v>2077697252.3076</c:v>
                </c:pt>
                <c:pt idx="4">
                  <c:v>5233326172.2789593</c:v>
                </c:pt>
              </c:numCache>
            </c:numRef>
          </c:val>
          <c:extLst>
            <c:ext xmlns:c16="http://schemas.microsoft.com/office/drawing/2014/chart" uri="{C3380CC4-5D6E-409C-BE32-E72D297353CC}">
              <c16:uniqueId val="{00000004-831F-42AF-B5E7-BB9D9ECD4B35}"/>
            </c:ext>
          </c:extLst>
        </c:ser>
        <c:dLbls>
          <c:showLegendKey val="0"/>
          <c:showVal val="0"/>
          <c:showCatName val="0"/>
          <c:showSerName val="0"/>
          <c:showPercent val="0"/>
          <c:showBubbleSize val="0"/>
        </c:dLbls>
        <c:gapWidth val="219"/>
        <c:overlap val="-27"/>
        <c:axId val="1871893776"/>
        <c:axId val="1871894256"/>
      </c:barChart>
      <c:catAx>
        <c:axId val="187189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71894256"/>
        <c:crosses val="autoZero"/>
        <c:auto val="1"/>
        <c:lblAlgn val="ctr"/>
        <c:lblOffset val="100"/>
        <c:noMultiLvlLbl val="0"/>
      </c:catAx>
      <c:valAx>
        <c:axId val="1871894256"/>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7189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Estado</a:t>
            </a:r>
            <a:r>
              <a:rPr lang="es-CO" baseline="0"/>
              <a:t> de Resultados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0.23136169766837428"/>
          <c:y val="0.16747099767981441"/>
          <c:w val="0.7393239037915289"/>
          <c:h val="0.38613113616018413"/>
        </c:manualLayout>
      </c:layout>
      <c:barChart>
        <c:barDir val="col"/>
        <c:grouping val="clustered"/>
        <c:varyColors val="0"/>
        <c:ser>
          <c:idx val="0"/>
          <c:order val="0"/>
          <c:tx>
            <c:strRef>
              <c:f>'Estado de Resultados'!$B$5</c:f>
              <c:strCache>
                <c:ptCount val="1"/>
                <c:pt idx="0">
                  <c:v>Ventas Netas (Ingresos operacionales)</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'Estado de Resultados'!$C$4:$H$4</c:f>
              <c:strCache>
                <c:ptCount val="3"/>
                <c:pt idx="0">
                  <c:v>AÑO 1</c:v>
                </c:pt>
                <c:pt idx="1">
                  <c:v>AÑO 2</c:v>
                </c:pt>
                <c:pt idx="2">
                  <c:v>AÑO 3</c:v>
                </c:pt>
              </c:strCache>
            </c:strRef>
          </c:cat>
          <c:val>
            <c:numRef>
              <c:f>'Estado de Resultados'!$C$5:$H$5</c:f>
              <c:numCache>
                <c:formatCode>_("$"\ * #,##0_);_("$"\ * \(#,##0\);_("$"\ * "-"??_);_(@_)</c:formatCode>
                <c:ptCount val="3"/>
                <c:pt idx="0">
                  <c:v>4405400000</c:v>
                </c:pt>
                <c:pt idx="1">
                  <c:v>4625670000</c:v>
                </c:pt>
                <c:pt idx="2">
                  <c:v>4819948140</c:v>
                </c:pt>
              </c:numCache>
            </c:numRef>
          </c:val>
          <c:extLst>
            <c:ext xmlns:c16="http://schemas.microsoft.com/office/drawing/2014/chart" uri="{C3380CC4-5D6E-409C-BE32-E72D297353CC}">
              <c16:uniqueId val="{00000000-93B5-4890-BE8B-A2517D2FA73A}"/>
            </c:ext>
          </c:extLst>
        </c:ser>
        <c:ser>
          <c:idx val="1"/>
          <c:order val="1"/>
          <c:tx>
            <c:strRef>
              <c:f>'Estado de Resultados'!$B$23</c:f>
              <c:strCache>
                <c:ptCount val="1"/>
                <c:pt idx="0">
                  <c:v>RESULTADO DEL EJERCICIO (Despues de Impuestos ) </c:v>
                </c:pt>
              </c:strCache>
            </c:strRef>
          </c:tx>
          <c:spPr>
            <a:solidFill>
              <a:srgbClr val="92D050"/>
            </a:solidFill>
            <a:ln>
              <a:noFill/>
            </a:ln>
            <a:effectLst/>
          </c:spPr>
          <c:invertIfNegative val="0"/>
          <c:trendline>
            <c:spPr>
              <a:ln w="19050" cap="rnd">
                <a:solidFill>
                  <a:schemeClr val="accent2"/>
                </a:solidFill>
                <a:prstDash val="sysDot"/>
              </a:ln>
              <a:effectLst/>
            </c:spPr>
            <c:trendlineType val="linear"/>
            <c:dispRSqr val="0"/>
            <c:dispEq val="0"/>
          </c:trendline>
          <c:cat>
            <c:strRef>
              <c:f>'Estado de Resultados'!$C$4:$H$4</c:f>
              <c:strCache>
                <c:ptCount val="3"/>
                <c:pt idx="0">
                  <c:v>AÑO 1</c:v>
                </c:pt>
                <c:pt idx="1">
                  <c:v>AÑO 2</c:v>
                </c:pt>
                <c:pt idx="2">
                  <c:v>AÑO 3</c:v>
                </c:pt>
              </c:strCache>
            </c:strRef>
          </c:cat>
          <c:val>
            <c:numRef>
              <c:f>'Estado de Resultados'!$C$23:$H$23</c:f>
              <c:numCache>
                <c:formatCode>"$"#,##0_);[Red]\("$"#,##0\)</c:formatCode>
                <c:ptCount val="3"/>
                <c:pt idx="0">
                  <c:v>2194460112</c:v>
                </c:pt>
                <c:pt idx="1">
                  <c:v>2292123754.0060143</c:v>
                </c:pt>
                <c:pt idx="2">
                  <c:v>2377382080.8828144</c:v>
                </c:pt>
              </c:numCache>
            </c:numRef>
          </c:val>
          <c:extLst>
            <c:ext xmlns:c16="http://schemas.microsoft.com/office/drawing/2014/chart" uri="{C3380CC4-5D6E-409C-BE32-E72D297353CC}">
              <c16:uniqueId val="{00000001-93B5-4890-BE8B-A2517D2FA73A}"/>
            </c:ext>
          </c:extLst>
        </c:ser>
        <c:dLbls>
          <c:showLegendKey val="0"/>
          <c:showVal val="0"/>
          <c:showCatName val="0"/>
          <c:showSerName val="0"/>
          <c:showPercent val="0"/>
          <c:showBubbleSize val="0"/>
        </c:dLbls>
        <c:gapWidth val="219"/>
        <c:overlap val="-27"/>
        <c:axId val="304043824"/>
        <c:axId val="304044304"/>
      </c:barChart>
      <c:catAx>
        <c:axId val="30404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4044304"/>
        <c:crosses val="autoZero"/>
        <c:auto val="1"/>
        <c:lblAlgn val="ctr"/>
        <c:lblOffset val="100"/>
        <c:noMultiLvlLbl val="0"/>
      </c:catAx>
      <c:valAx>
        <c:axId val="304044304"/>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404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 Activo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2">
                <a:lumMod val="60000"/>
                <a:lumOff val="40000"/>
              </a:schemeClr>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Financiera'!$G$14:$J$14</c:f>
              <c:numCache>
                <c:formatCode>_("$"\ * #,##0_);_("$"\ * \(#,##0\);_("$"\ * "-"??_);_(@_)</c:formatCode>
                <c:ptCount val="4"/>
                <c:pt idx="0">
                  <c:v>40000000</c:v>
                </c:pt>
                <c:pt idx="1">
                  <c:v>2236002883.7252131</c:v>
                </c:pt>
                <c:pt idx="2">
                  <c:v>2326258358.9833956</c:v>
                </c:pt>
                <c:pt idx="3">
                  <c:v>2407382080.8828144</c:v>
                </c:pt>
              </c:numCache>
            </c:numRef>
          </c:val>
          <c:extLst>
            <c:ext xmlns:c16="http://schemas.microsoft.com/office/drawing/2014/chart" uri="{C3380CC4-5D6E-409C-BE32-E72D297353CC}">
              <c16:uniqueId val="{00000000-BD7D-49F9-8DD0-1FCF4561885E}"/>
            </c:ext>
          </c:extLst>
        </c:ser>
        <c:dLbls>
          <c:showLegendKey val="0"/>
          <c:showVal val="0"/>
          <c:showCatName val="0"/>
          <c:showSerName val="0"/>
          <c:showPercent val="0"/>
          <c:showBubbleSize val="0"/>
        </c:dLbls>
        <c:gapWidth val="219"/>
        <c:overlap val="-27"/>
        <c:axId val="1099126799"/>
        <c:axId val="1099127759"/>
      </c:barChart>
      <c:catAx>
        <c:axId val="10991267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99127759"/>
        <c:crosses val="autoZero"/>
        <c:auto val="1"/>
        <c:lblAlgn val="ctr"/>
        <c:lblOffset val="100"/>
        <c:noMultiLvlLbl val="0"/>
      </c:catAx>
      <c:valAx>
        <c:axId val="1099127759"/>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99126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a:t>
            </a:r>
            <a:r>
              <a:rPr lang="es-CO" baseline="0"/>
              <a:t> Pasivos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Financiera'!$G$21:$J$21</c:f>
              <c:numCache>
                <c:formatCode>_("$"\ * #,##0_);_("$"\ * \(#,##0\);_("$"\ * "-"??_);_(@_)</c:formatCode>
                <c:ptCount val="4"/>
                <c:pt idx="0">
                  <c:v>10000000</c:v>
                </c:pt>
                <c:pt idx="1">
                  <c:v>11542771.725213289</c:v>
                </c:pt>
                <c:pt idx="2">
                  <c:v>4134604.9773812257</c:v>
                </c:pt>
                <c:pt idx="3">
                  <c:v>-6.7055225372314453E-8</c:v>
                </c:pt>
              </c:numCache>
            </c:numRef>
          </c:val>
          <c:extLst>
            <c:ext xmlns:c16="http://schemas.microsoft.com/office/drawing/2014/chart" uri="{C3380CC4-5D6E-409C-BE32-E72D297353CC}">
              <c16:uniqueId val="{00000000-D102-410D-830C-5F0202B52FB8}"/>
            </c:ext>
          </c:extLst>
        </c:ser>
        <c:dLbls>
          <c:showLegendKey val="0"/>
          <c:showVal val="0"/>
          <c:showCatName val="0"/>
          <c:showSerName val="0"/>
          <c:showPercent val="0"/>
          <c:showBubbleSize val="0"/>
        </c:dLbls>
        <c:gapWidth val="219"/>
        <c:overlap val="-27"/>
        <c:axId val="101865008"/>
        <c:axId val="101867408"/>
      </c:barChart>
      <c:catAx>
        <c:axId val="101865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67408"/>
        <c:crosses val="autoZero"/>
        <c:auto val="1"/>
        <c:lblAlgn val="ctr"/>
        <c:lblOffset val="100"/>
        <c:noMultiLvlLbl val="0"/>
      </c:catAx>
      <c:valAx>
        <c:axId val="101867408"/>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65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Total Patrimonio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2">
                <a:lumMod val="75000"/>
              </a:schemeClr>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Financiera'!$G$27:$J$27</c:f>
              <c:numCache>
                <c:formatCode>_("$"\ * #,##0_);_("$"\ * \(#,##0\);_("$"\ * "-"??_);_(@_)</c:formatCode>
                <c:ptCount val="4"/>
                <c:pt idx="0">
                  <c:v>30000000</c:v>
                </c:pt>
                <c:pt idx="1">
                  <c:v>2224460112</c:v>
                </c:pt>
                <c:pt idx="2">
                  <c:v>2322123754.0060143</c:v>
                </c:pt>
                <c:pt idx="3">
                  <c:v>2407382080.8828144</c:v>
                </c:pt>
              </c:numCache>
            </c:numRef>
          </c:val>
          <c:extLst>
            <c:ext xmlns:c16="http://schemas.microsoft.com/office/drawing/2014/chart" uri="{C3380CC4-5D6E-409C-BE32-E72D297353CC}">
              <c16:uniqueId val="{00000000-CC7A-4A6D-A96F-A67006721C11}"/>
            </c:ext>
          </c:extLst>
        </c:ser>
        <c:dLbls>
          <c:showLegendKey val="0"/>
          <c:showVal val="0"/>
          <c:showCatName val="0"/>
          <c:showSerName val="0"/>
          <c:showPercent val="0"/>
          <c:showBubbleSize val="0"/>
        </c:dLbls>
        <c:gapWidth val="219"/>
        <c:overlap val="-27"/>
        <c:axId val="101859728"/>
        <c:axId val="711392959"/>
      </c:barChart>
      <c:catAx>
        <c:axId val="101859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11392959"/>
        <c:crosses val="autoZero"/>
        <c:auto val="1"/>
        <c:lblAlgn val="ctr"/>
        <c:lblOffset val="100"/>
        <c:noMultiLvlLbl val="0"/>
      </c:catAx>
      <c:valAx>
        <c:axId val="711392959"/>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597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INVERSION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'Inversión Inicial'!$B$33</c:f>
              <c:strCache>
                <c:ptCount val="1"/>
                <c:pt idx="0">
                  <c:v>INVERSION 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'Inversión Inicial'!$C$32:$F$32</c:f>
              <c:strCache>
                <c:ptCount val="4"/>
                <c:pt idx="0">
                  <c:v>Previo inicio</c:v>
                </c:pt>
                <c:pt idx="1">
                  <c:v>AÑO 1</c:v>
                </c:pt>
                <c:pt idx="2">
                  <c:v>AÑO 2</c:v>
                </c:pt>
                <c:pt idx="3">
                  <c:v>AÑO 3</c:v>
                </c:pt>
              </c:strCache>
            </c:strRef>
          </c:cat>
          <c:val>
            <c:numRef>
              <c:f>'Inversión Inicial'!$C$33:$F$33</c:f>
              <c:numCache>
                <c:formatCode>"$"\ #,##0</c:formatCode>
                <c:ptCount val="4"/>
                <c:pt idx="0">
                  <c:v>34500000</c:v>
                </c:pt>
                <c:pt idx="1">
                  <c:v>85800000</c:v>
                </c:pt>
                <c:pt idx="2">
                  <c:v>123500000</c:v>
                </c:pt>
                <c:pt idx="3">
                  <c:v>175000000</c:v>
                </c:pt>
              </c:numCache>
            </c:numRef>
          </c:val>
          <c:extLst>
            <c:ext xmlns:c16="http://schemas.microsoft.com/office/drawing/2014/chart" uri="{C3380CC4-5D6E-409C-BE32-E72D297353CC}">
              <c16:uniqueId val="{00000000-A912-412C-B26D-81E0B3CEC16D}"/>
            </c:ext>
          </c:extLst>
        </c:ser>
        <c:dLbls>
          <c:showLegendKey val="0"/>
          <c:showVal val="0"/>
          <c:showCatName val="0"/>
          <c:showSerName val="0"/>
          <c:showPercent val="0"/>
          <c:showBubbleSize val="0"/>
        </c:dLbls>
        <c:gapWidth val="219"/>
        <c:overlap val="-27"/>
        <c:axId val="705800480"/>
        <c:axId val="705794720"/>
      </c:barChart>
      <c:catAx>
        <c:axId val="705800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794720"/>
        <c:crosses val="autoZero"/>
        <c:auto val="1"/>
        <c:lblAlgn val="ctr"/>
        <c:lblOffset val="100"/>
        <c:noMultiLvlLbl val="0"/>
      </c:catAx>
      <c:valAx>
        <c:axId val="705794720"/>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05800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400" b="1" i="0" u="none" strike="noStrike" kern="1200" spc="0" baseline="0">
                <a:solidFill>
                  <a:sysClr val="windowText" lastClr="000000">
                    <a:lumMod val="65000"/>
                    <a:lumOff val="35000"/>
                  </a:sysClr>
                </a:solidFill>
              </a:rPr>
              <a:t>Capital Amortizado Vs Capital Pendiente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Financiación!$F$24</c:f>
              <c:strCache>
                <c:ptCount val="1"/>
                <c:pt idx="0">
                  <c:v>Capital amortizado</c:v>
                </c:pt>
              </c:strCache>
            </c:strRef>
          </c:tx>
          <c:spPr>
            <a:solidFill>
              <a:schemeClr val="accent1"/>
            </a:solidFill>
            <a:ln>
              <a:noFill/>
            </a:ln>
            <a:effectLst/>
          </c:spPr>
          <c:invertIfNegative val="0"/>
          <c:val>
            <c:numRef>
              <c:f>(Financiación!$F$25:$F$36,Financiación!$F$38:$F$48,Financiación!$F$50:$F$61)</c:f>
              <c:numCache>
                <c:formatCode>"$"#,##0_);[Red]\("$"#,##0\)</c:formatCode>
                <c:ptCount val="35"/>
                <c:pt idx="1">
                  <c:v>193626.68384612212</c:v>
                </c:pt>
                <c:pt idx="2">
                  <c:v>391058.13202982175</c:v>
                </c:pt>
                <c:pt idx="3">
                  <c:v>592369.10817033111</c:v>
                </c:pt>
                <c:pt idx="4">
                  <c:v>797635.84499200154</c:v>
                </c:pt>
                <c:pt idx="5">
                  <c:v>1006936.0731922177</c:v>
                </c:pt>
                <c:pt idx="6">
                  <c:v>1220349.0508765683</c:v>
                </c:pt>
                <c:pt idx="7">
                  <c:v>1437955.5935724163</c:v>
                </c:pt>
                <c:pt idx="8">
                  <c:v>1659838.1048322376</c:v>
                </c:pt>
                <c:pt idx="9">
                  <c:v>1886080.6074383145</c:v>
                </c:pt>
                <c:pt idx="10">
                  <c:v>2116768.7752206009</c:v>
                </c:pt>
                <c:pt idx="11">
                  <c:v>2351989.965499809</c:v>
                </c:pt>
                <c:pt idx="12">
                  <c:v>2836389.4594192281</c:v>
                </c:pt>
                <c:pt idx="13">
                  <c:v>3085751.1961429394</c:v>
                </c:pt>
                <c:pt idx="14">
                  <c:v>3340012.8909932715</c:v>
                </c:pt>
                <c:pt idx="15">
                  <c:v>3599270.8281474127</c:v>
                </c:pt>
                <c:pt idx="16">
                  <c:v>3863623.1837666328</c:v>
                </c:pt>
                <c:pt idx="17">
                  <c:v>4133170.0631737704</c:v>
                </c:pt>
                <c:pt idx="18">
                  <c:v>4408013.5387612581</c:v>
                </c:pt>
                <c:pt idx="19">
                  <c:v>4688257.6886440404</c:v>
                </c:pt>
                <c:pt idx="20">
                  <c:v>4974008.6360720191</c:v>
                </c:pt>
                <c:pt idx="21">
                  <c:v>5265374.5896169581</c:v>
                </c:pt>
                <c:pt idx="22">
                  <c:v>5562465.884149055</c:v>
                </c:pt>
                <c:pt idx="23">
                  <c:v>6174276.7186592882</c:v>
                </c:pt>
                <c:pt idx="24">
                  <c:v>6489227.9400270665</c:v>
                </c:pt>
                <c:pt idx="25">
                  <c:v>6810367.9528947221</c:v>
                </c:pt>
                <c:pt idx="26">
                  <c:v>7137818.3670152267</c:v>
                </c:pt>
                <c:pt idx="27">
                  <c:v>7471703.1817731997</c:v>
                </c:pt>
                <c:pt idx="28">
                  <c:v>7812148.8331411667</c:v>
                </c:pt>
                <c:pt idx="29">
                  <c:v>8159284.2415585145</c:v>
                </c:pt>
                <c:pt idx="30">
                  <c:v>8513240.8607512619</c:v>
                </c:pt>
                <c:pt idx="31">
                  <c:v>8874152.727511147</c:v>
                </c:pt>
                <c:pt idx="32">
                  <c:v>9242156.512452865</c:v>
                </c:pt>
                <c:pt idx="33">
                  <c:v>9617391.571768688</c:v>
                </c:pt>
                <c:pt idx="34">
                  <c:v>10000000.000000067</c:v>
                </c:pt>
              </c:numCache>
            </c:numRef>
          </c:val>
          <c:extLst>
            <c:ext xmlns:c16="http://schemas.microsoft.com/office/drawing/2014/chart" uri="{C3380CC4-5D6E-409C-BE32-E72D297353CC}">
              <c16:uniqueId val="{00000000-D1E0-4644-A67F-AFE707D089DC}"/>
            </c:ext>
          </c:extLst>
        </c:ser>
        <c:ser>
          <c:idx val="1"/>
          <c:order val="1"/>
          <c:tx>
            <c:strRef>
              <c:f>Financiación!$G$24</c:f>
              <c:strCache>
                <c:ptCount val="1"/>
                <c:pt idx="0">
                  <c:v>Capital Pendiente</c:v>
                </c:pt>
              </c:strCache>
            </c:strRef>
          </c:tx>
          <c:spPr>
            <a:solidFill>
              <a:schemeClr val="accent2"/>
            </a:solidFill>
            <a:ln>
              <a:noFill/>
            </a:ln>
            <a:effectLst/>
          </c:spPr>
          <c:invertIfNegative val="0"/>
          <c:val>
            <c:numRef>
              <c:f>(Financiación!$G$25:$G$36,Financiación!$G$38:$G$48,Financiación!$G$50:$G$61)</c:f>
              <c:numCache>
                <c:formatCode>"$"#,##0_);[Red]\("$"#,##0\)</c:formatCode>
                <c:ptCount val="35"/>
                <c:pt idx="1">
                  <c:v>9806373.3161538783</c:v>
                </c:pt>
                <c:pt idx="2">
                  <c:v>9608941.8679701779</c:v>
                </c:pt>
                <c:pt idx="3">
                  <c:v>9407630.8918296695</c:v>
                </c:pt>
                <c:pt idx="4">
                  <c:v>9202364.1550079994</c:v>
                </c:pt>
                <c:pt idx="5">
                  <c:v>8993063.9268077817</c:v>
                </c:pt>
                <c:pt idx="6">
                  <c:v>8779650.949123431</c:v>
                </c:pt>
                <c:pt idx="7">
                  <c:v>8562044.4064275846</c:v>
                </c:pt>
                <c:pt idx="8">
                  <c:v>8340161.8951677624</c:v>
                </c:pt>
                <c:pt idx="9">
                  <c:v>8113919.3925616853</c:v>
                </c:pt>
                <c:pt idx="10">
                  <c:v>7883231.2247793991</c:v>
                </c:pt>
                <c:pt idx="11">
                  <c:v>7648010.034500191</c:v>
                </c:pt>
                <c:pt idx="12">
                  <c:v>7163610.5405807719</c:v>
                </c:pt>
                <c:pt idx="13">
                  <c:v>6914248.8038570601</c:v>
                </c:pt>
                <c:pt idx="14">
                  <c:v>6659987.109006729</c:v>
                </c:pt>
                <c:pt idx="15">
                  <c:v>6400729.1718525868</c:v>
                </c:pt>
                <c:pt idx="16">
                  <c:v>6136376.8162333667</c:v>
                </c:pt>
                <c:pt idx="17">
                  <c:v>5866829.9368262291</c:v>
                </c:pt>
                <c:pt idx="18">
                  <c:v>5591986.4612387419</c:v>
                </c:pt>
                <c:pt idx="19">
                  <c:v>5311742.3113559596</c:v>
                </c:pt>
                <c:pt idx="20">
                  <c:v>5025991.3639279809</c:v>
                </c:pt>
                <c:pt idx="21">
                  <c:v>4734625.4103830419</c:v>
                </c:pt>
                <c:pt idx="22">
                  <c:v>4437534.115850945</c:v>
                </c:pt>
                <c:pt idx="23">
                  <c:v>3825723.2813407118</c:v>
                </c:pt>
                <c:pt idx="24">
                  <c:v>3510772.0599729335</c:v>
                </c:pt>
                <c:pt idx="25">
                  <c:v>3189632.0471052779</c:v>
                </c:pt>
                <c:pt idx="26">
                  <c:v>2862181.6329847733</c:v>
                </c:pt>
                <c:pt idx="27">
                  <c:v>2528296.8182268003</c:v>
                </c:pt>
                <c:pt idx="28">
                  <c:v>2187851.1668588333</c:v>
                </c:pt>
                <c:pt idx="29">
                  <c:v>1840715.7584414855</c:v>
                </c:pt>
                <c:pt idx="30">
                  <c:v>1486759.1392487381</c:v>
                </c:pt>
                <c:pt idx="31">
                  <c:v>1125847.272488853</c:v>
                </c:pt>
                <c:pt idx="32">
                  <c:v>757843.48754713498</c:v>
                </c:pt>
                <c:pt idx="33">
                  <c:v>382608.42823131196</c:v>
                </c:pt>
                <c:pt idx="34">
                  <c:v>-6.7055225372314453E-8</c:v>
                </c:pt>
              </c:numCache>
            </c:numRef>
          </c:val>
          <c:extLst>
            <c:ext xmlns:c16="http://schemas.microsoft.com/office/drawing/2014/chart" uri="{C3380CC4-5D6E-409C-BE32-E72D297353CC}">
              <c16:uniqueId val="{00000001-D1E0-4644-A67F-AFE707D089DC}"/>
            </c:ext>
          </c:extLst>
        </c:ser>
        <c:dLbls>
          <c:showLegendKey val="0"/>
          <c:showVal val="0"/>
          <c:showCatName val="0"/>
          <c:showSerName val="0"/>
          <c:showPercent val="0"/>
          <c:showBubbleSize val="0"/>
        </c:dLbls>
        <c:gapWidth val="219"/>
        <c:overlap val="-27"/>
        <c:axId val="279413968"/>
        <c:axId val="279434608"/>
      </c:barChart>
      <c:catAx>
        <c:axId val="2794139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34608"/>
        <c:crosses val="autoZero"/>
        <c:auto val="1"/>
        <c:lblAlgn val="ctr"/>
        <c:lblOffset val="100"/>
        <c:noMultiLvlLbl val="0"/>
      </c:catAx>
      <c:valAx>
        <c:axId val="2794346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9413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Grafico de Estado</a:t>
            </a:r>
            <a:r>
              <a:rPr lang="es-CO" baseline="0"/>
              <a:t> de Resultados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'Estado de Resultados'!$B$5</c:f>
              <c:strCache>
                <c:ptCount val="1"/>
                <c:pt idx="0">
                  <c:v>Ventas Netas (Ingresos operacionales)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'Estado de Resultados'!$C$4:$H$4</c:f>
              <c:strCache>
                <c:ptCount val="3"/>
                <c:pt idx="0">
                  <c:v>AÑO 1</c:v>
                </c:pt>
                <c:pt idx="1">
                  <c:v>AÑO 2</c:v>
                </c:pt>
                <c:pt idx="2">
                  <c:v>AÑO 3</c:v>
                </c:pt>
              </c:strCache>
            </c:strRef>
          </c:cat>
          <c:val>
            <c:numRef>
              <c:f>'Estado de Resultados'!$C$5:$H$5</c:f>
              <c:numCache>
                <c:formatCode>_("$"\ * #,##0_);_("$"\ * \(#,##0\);_("$"\ * "-"??_);_(@_)</c:formatCode>
                <c:ptCount val="3"/>
                <c:pt idx="0">
                  <c:v>4405400000</c:v>
                </c:pt>
                <c:pt idx="1">
                  <c:v>4625670000</c:v>
                </c:pt>
                <c:pt idx="2">
                  <c:v>4819948140</c:v>
                </c:pt>
              </c:numCache>
            </c:numRef>
          </c:val>
          <c:extLst>
            <c:ext xmlns:c16="http://schemas.microsoft.com/office/drawing/2014/chart" uri="{C3380CC4-5D6E-409C-BE32-E72D297353CC}">
              <c16:uniqueId val="{00000000-ED1F-4C97-8E4C-E47DC2EE7381}"/>
            </c:ext>
          </c:extLst>
        </c:ser>
        <c:ser>
          <c:idx val="1"/>
          <c:order val="1"/>
          <c:tx>
            <c:strRef>
              <c:f>'Estado de Resultados'!$B$23</c:f>
              <c:strCache>
                <c:ptCount val="1"/>
                <c:pt idx="0">
                  <c:v>RESULTADO DEL EJERCICIO (Despues de Impuestos )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strRef>
              <c:f>'Estado de Resultados'!$C$4:$H$4</c:f>
              <c:strCache>
                <c:ptCount val="3"/>
                <c:pt idx="0">
                  <c:v>AÑO 1</c:v>
                </c:pt>
                <c:pt idx="1">
                  <c:v>AÑO 2</c:v>
                </c:pt>
                <c:pt idx="2">
                  <c:v>AÑO 3</c:v>
                </c:pt>
              </c:strCache>
            </c:strRef>
          </c:cat>
          <c:val>
            <c:numRef>
              <c:f>'Estado de Resultados'!$C$23:$H$23</c:f>
              <c:numCache>
                <c:formatCode>"$"#,##0_);[Red]\("$"#,##0\)</c:formatCode>
                <c:ptCount val="3"/>
                <c:pt idx="0">
                  <c:v>2194460112</c:v>
                </c:pt>
                <c:pt idx="1">
                  <c:v>2292123754.0060143</c:v>
                </c:pt>
                <c:pt idx="2">
                  <c:v>2377382080.8828144</c:v>
                </c:pt>
              </c:numCache>
            </c:numRef>
          </c:val>
          <c:extLst>
            <c:ext xmlns:c16="http://schemas.microsoft.com/office/drawing/2014/chart" uri="{C3380CC4-5D6E-409C-BE32-E72D297353CC}">
              <c16:uniqueId val="{00000001-ED1F-4C97-8E4C-E47DC2EE7381}"/>
            </c:ext>
          </c:extLst>
        </c:ser>
        <c:dLbls>
          <c:showLegendKey val="0"/>
          <c:showVal val="0"/>
          <c:showCatName val="0"/>
          <c:showSerName val="0"/>
          <c:showPercent val="0"/>
          <c:showBubbleSize val="0"/>
        </c:dLbls>
        <c:gapWidth val="219"/>
        <c:overlap val="-27"/>
        <c:axId val="304043824"/>
        <c:axId val="304044304"/>
      </c:barChart>
      <c:catAx>
        <c:axId val="30404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4044304"/>
        <c:crosses val="autoZero"/>
        <c:auto val="1"/>
        <c:lblAlgn val="ctr"/>
        <c:lblOffset val="100"/>
        <c:noMultiLvlLbl val="0"/>
      </c:catAx>
      <c:valAx>
        <c:axId val="304044304"/>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04043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b="1"/>
              <a:t>Total Activo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2">
                <a:lumMod val="60000"/>
                <a:lumOff val="40000"/>
              </a:schemeClr>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Financiera'!$G$14:$J$14</c:f>
              <c:numCache>
                <c:formatCode>_("$"\ * #,##0_);_("$"\ * \(#,##0\);_("$"\ * "-"??_);_(@_)</c:formatCode>
                <c:ptCount val="4"/>
                <c:pt idx="0">
                  <c:v>40000000</c:v>
                </c:pt>
                <c:pt idx="1">
                  <c:v>2236002883.7252131</c:v>
                </c:pt>
                <c:pt idx="2">
                  <c:v>2326258358.9833956</c:v>
                </c:pt>
                <c:pt idx="3">
                  <c:v>2407382080.8828144</c:v>
                </c:pt>
              </c:numCache>
            </c:numRef>
          </c:val>
          <c:extLst>
            <c:ext xmlns:c16="http://schemas.microsoft.com/office/drawing/2014/chart" uri="{C3380CC4-5D6E-409C-BE32-E72D297353CC}">
              <c16:uniqueId val="{00000001-3C73-4397-8F91-31CF310EFBD0}"/>
            </c:ext>
          </c:extLst>
        </c:ser>
        <c:dLbls>
          <c:showLegendKey val="0"/>
          <c:showVal val="0"/>
          <c:showCatName val="0"/>
          <c:showSerName val="0"/>
          <c:showPercent val="0"/>
          <c:showBubbleSize val="0"/>
        </c:dLbls>
        <c:gapWidth val="219"/>
        <c:overlap val="-27"/>
        <c:axId val="1099126799"/>
        <c:axId val="1099127759"/>
      </c:barChart>
      <c:catAx>
        <c:axId val="10991267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99127759"/>
        <c:crosses val="autoZero"/>
        <c:auto val="1"/>
        <c:lblAlgn val="ctr"/>
        <c:lblOffset val="100"/>
        <c:noMultiLvlLbl val="0"/>
      </c:catAx>
      <c:valAx>
        <c:axId val="1099127759"/>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99126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b="1"/>
              <a:t>Total</a:t>
            </a:r>
            <a:r>
              <a:rPr lang="es-CO" b="1" baseline="0"/>
              <a:t> Pasivos </a:t>
            </a:r>
            <a:endParaRPr lang="es-CO"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0.17926181102362204"/>
          <c:y val="0.17171296296296298"/>
          <c:w val="0.78462707786526686"/>
          <c:h val="0.77736111111111106"/>
        </c:manualLayout>
      </c:layout>
      <c:barChart>
        <c:barDir val="col"/>
        <c:grouping val="clustered"/>
        <c:varyColors val="0"/>
        <c:ser>
          <c:idx val="0"/>
          <c:order val="0"/>
          <c:spPr>
            <a:solidFill>
              <a:schemeClr val="accent3">
                <a:lumMod val="75000"/>
              </a:schemeClr>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Financiera'!$G$21:$J$21</c:f>
              <c:numCache>
                <c:formatCode>_("$"\ * #,##0_);_("$"\ * \(#,##0\);_("$"\ * "-"??_);_(@_)</c:formatCode>
                <c:ptCount val="4"/>
                <c:pt idx="0">
                  <c:v>10000000</c:v>
                </c:pt>
                <c:pt idx="1">
                  <c:v>11542771.725213289</c:v>
                </c:pt>
                <c:pt idx="2">
                  <c:v>4134604.9773812257</c:v>
                </c:pt>
                <c:pt idx="3">
                  <c:v>-6.7055225372314453E-8</c:v>
                </c:pt>
              </c:numCache>
            </c:numRef>
          </c:val>
          <c:extLst>
            <c:ext xmlns:c16="http://schemas.microsoft.com/office/drawing/2014/chart" uri="{C3380CC4-5D6E-409C-BE32-E72D297353CC}">
              <c16:uniqueId val="{00000000-ECE2-44CE-9A7F-24C914F1240F}"/>
            </c:ext>
          </c:extLst>
        </c:ser>
        <c:dLbls>
          <c:showLegendKey val="0"/>
          <c:showVal val="0"/>
          <c:showCatName val="0"/>
          <c:showSerName val="0"/>
          <c:showPercent val="0"/>
          <c:showBubbleSize val="0"/>
        </c:dLbls>
        <c:gapWidth val="219"/>
        <c:overlap val="-27"/>
        <c:axId val="101865008"/>
        <c:axId val="101867408"/>
      </c:barChart>
      <c:catAx>
        <c:axId val="101865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67408"/>
        <c:crosses val="autoZero"/>
        <c:auto val="1"/>
        <c:lblAlgn val="ctr"/>
        <c:lblOffset val="100"/>
        <c:noMultiLvlLbl val="0"/>
      </c:catAx>
      <c:valAx>
        <c:axId val="101867408"/>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65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b="1"/>
              <a:t>Total Patrimonio </a:t>
            </a:r>
          </a:p>
        </c:rich>
      </c:tx>
      <c:layout>
        <c:manualLayout>
          <c:xMode val="edge"/>
          <c:yMode val="edge"/>
          <c:x val="0.36912479301548168"/>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2">
                <a:lumMod val="75000"/>
              </a:schemeClr>
            </a:solidFill>
            <a:ln>
              <a:noFill/>
            </a:ln>
            <a:effectLst/>
          </c:spPr>
          <c:invertIfNegative val="0"/>
          <c:trendline>
            <c:spPr>
              <a:ln w="19050" cap="rnd">
                <a:solidFill>
                  <a:schemeClr val="accent1"/>
                </a:solidFill>
                <a:prstDash val="sysDot"/>
              </a:ln>
              <a:effectLst/>
            </c:spPr>
            <c:trendlineType val="linear"/>
            <c:dispRSqr val="0"/>
            <c:dispEq val="0"/>
          </c:trendline>
          <c:val>
            <c:numRef>
              <c:f>'Estado de Situación Financiera'!$G$27:$J$27</c:f>
              <c:numCache>
                <c:formatCode>_("$"\ * #,##0_);_("$"\ * \(#,##0\);_("$"\ * "-"??_);_(@_)</c:formatCode>
                <c:ptCount val="4"/>
                <c:pt idx="0">
                  <c:v>30000000</c:v>
                </c:pt>
                <c:pt idx="1">
                  <c:v>2224460112</c:v>
                </c:pt>
                <c:pt idx="2">
                  <c:v>2322123754.0060143</c:v>
                </c:pt>
                <c:pt idx="3">
                  <c:v>2407382080.8828144</c:v>
                </c:pt>
              </c:numCache>
            </c:numRef>
          </c:val>
          <c:extLst>
            <c:ext xmlns:c16="http://schemas.microsoft.com/office/drawing/2014/chart" uri="{C3380CC4-5D6E-409C-BE32-E72D297353CC}">
              <c16:uniqueId val="{00000001-7B6D-4A41-A669-DB41DBA02B44}"/>
            </c:ext>
          </c:extLst>
        </c:ser>
        <c:dLbls>
          <c:showLegendKey val="0"/>
          <c:showVal val="0"/>
          <c:showCatName val="0"/>
          <c:showSerName val="0"/>
          <c:showPercent val="0"/>
          <c:showBubbleSize val="0"/>
        </c:dLbls>
        <c:gapWidth val="219"/>
        <c:overlap val="-27"/>
        <c:axId val="101859728"/>
        <c:axId val="711392959"/>
      </c:barChart>
      <c:catAx>
        <c:axId val="101859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11392959"/>
        <c:crosses val="autoZero"/>
        <c:auto val="1"/>
        <c:lblAlgn val="ctr"/>
        <c:lblOffset val="100"/>
        <c:noMultiLvlLbl val="0"/>
      </c:catAx>
      <c:valAx>
        <c:axId val="711392959"/>
        <c:scaling>
          <c:orientation val="minMax"/>
        </c:scaling>
        <c:delete val="0"/>
        <c:axPos val="l"/>
        <c:numFmt formatCode="_(&quot;$&quot;\ * #,##0_);_(&quot;$&quot;\ * \(#,##0\);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18597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Analisis</a:t>
            </a:r>
            <a:r>
              <a:rPr lang="es-CO" baseline="0"/>
              <a:t> para Punto de Equilibrio</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'Punto de Equilibrio'!$B$37</c:f>
              <c:strCache>
                <c:ptCount val="1"/>
                <c:pt idx="0">
                  <c:v>Precio Valor Unitario Promedio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Equilibrio'!$C$37:$E$37</c:f>
              <c:numCache>
                <c:formatCode>_-* #,##0_-;\-* #,##0_-;_-* "-"??_-;_-@_-</c:formatCode>
                <c:ptCount val="3"/>
                <c:pt idx="0">
                  <c:v>137500</c:v>
                </c:pt>
                <c:pt idx="1">
                  <c:v>148500</c:v>
                </c:pt>
                <c:pt idx="2">
                  <c:v>160380</c:v>
                </c:pt>
              </c:numCache>
            </c:numRef>
          </c:val>
          <c:extLst>
            <c:ext xmlns:c16="http://schemas.microsoft.com/office/drawing/2014/chart" uri="{C3380CC4-5D6E-409C-BE32-E72D297353CC}">
              <c16:uniqueId val="{00000000-F8FA-4F64-BFF3-DDF13186958A}"/>
            </c:ext>
          </c:extLst>
        </c:ser>
        <c:ser>
          <c:idx val="1"/>
          <c:order val="1"/>
          <c:tx>
            <c:strRef>
              <c:f>'Punto de Equilibrio'!$B$38</c:f>
              <c:strCache>
                <c:ptCount val="1"/>
                <c:pt idx="0">
                  <c:v>Costo Variable Unitario  Promedio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Equilibrio'!$C$38:$E$38</c:f>
              <c:numCache>
                <c:formatCode>_-* #,##0_-;\-* #,##0_-;_-* "-"??_-;_-@_-</c:formatCode>
                <c:ptCount val="3"/>
                <c:pt idx="0">
                  <c:v>39275</c:v>
                </c:pt>
                <c:pt idx="1">
                  <c:v>42417</c:v>
                </c:pt>
                <c:pt idx="2">
                  <c:v>45810.36</c:v>
                </c:pt>
              </c:numCache>
            </c:numRef>
          </c:val>
          <c:extLst>
            <c:ext xmlns:c16="http://schemas.microsoft.com/office/drawing/2014/chart" uri="{C3380CC4-5D6E-409C-BE32-E72D297353CC}">
              <c16:uniqueId val="{00000001-F8FA-4F64-BFF3-DDF13186958A}"/>
            </c:ext>
          </c:extLst>
        </c:ser>
        <c:ser>
          <c:idx val="2"/>
          <c:order val="2"/>
          <c:tx>
            <c:strRef>
              <c:f>'Punto de Equilibrio'!$B$39</c:f>
              <c:strCache>
                <c:ptCount val="1"/>
                <c:pt idx="0">
                  <c:v>Utilidad Unitaria  Promedio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Equilibrio'!$C$36:$E$36</c:f>
              <c:strCache>
                <c:ptCount val="3"/>
                <c:pt idx="0">
                  <c:v>Año 1 </c:v>
                </c:pt>
                <c:pt idx="1">
                  <c:v>Año 2 </c:v>
                </c:pt>
                <c:pt idx="2">
                  <c:v>Año 3 </c:v>
                </c:pt>
              </c:strCache>
            </c:strRef>
          </c:cat>
          <c:val>
            <c:numRef>
              <c:f>'Punto de Equilibrio'!$C$39:$E$39</c:f>
              <c:numCache>
                <c:formatCode>_-* #,##0_-;\-* #,##0_-;_-* "-"??_-;_-@_-</c:formatCode>
                <c:ptCount val="3"/>
                <c:pt idx="0">
                  <c:v>98225</c:v>
                </c:pt>
                <c:pt idx="1">
                  <c:v>106083</c:v>
                </c:pt>
                <c:pt idx="2">
                  <c:v>114569.64</c:v>
                </c:pt>
              </c:numCache>
            </c:numRef>
          </c:val>
          <c:extLst>
            <c:ext xmlns:c16="http://schemas.microsoft.com/office/drawing/2014/chart" uri="{C3380CC4-5D6E-409C-BE32-E72D297353CC}">
              <c16:uniqueId val="{00000002-F8FA-4F64-BFF3-DDF13186958A}"/>
            </c:ext>
          </c:extLst>
        </c:ser>
        <c:dLbls>
          <c:showLegendKey val="0"/>
          <c:showVal val="0"/>
          <c:showCatName val="0"/>
          <c:showSerName val="0"/>
          <c:showPercent val="0"/>
          <c:showBubbleSize val="0"/>
        </c:dLbls>
        <c:gapWidth val="219"/>
        <c:overlap val="-27"/>
        <c:axId val="1787548719"/>
        <c:axId val="1058967199"/>
      </c:barChart>
      <c:catAx>
        <c:axId val="17875487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8967199"/>
        <c:crosses val="autoZero"/>
        <c:auto val="1"/>
        <c:lblAlgn val="ctr"/>
        <c:lblOffset val="100"/>
        <c:noMultiLvlLbl val="0"/>
      </c:catAx>
      <c:valAx>
        <c:axId val="1058967199"/>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7875487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Punto de equilibrio en Unidades vendidas</a:t>
            </a:r>
            <a:r>
              <a:rPr lang="es-CO" baseline="0"/>
              <a:t> </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'Punto de Equilibrio'!$B$42</c:f>
              <c:strCache>
                <c:ptCount val="1"/>
                <c:pt idx="0">
                  <c:v>Unidades Promedio Vendidas Año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Equilibrio'!$C$41:$E$41</c:f>
              <c:strCache>
                <c:ptCount val="3"/>
                <c:pt idx="0">
                  <c:v>Año 1 </c:v>
                </c:pt>
                <c:pt idx="1">
                  <c:v>Año 2 </c:v>
                </c:pt>
                <c:pt idx="2">
                  <c:v>Año 3 </c:v>
                </c:pt>
              </c:strCache>
            </c:strRef>
          </c:cat>
          <c:val>
            <c:numRef>
              <c:f>'Punto de Equilibrio'!$C$42:$E$42</c:f>
              <c:numCache>
                <c:formatCode>#,##0</c:formatCode>
                <c:ptCount val="3"/>
                <c:pt idx="0">
                  <c:v>34420</c:v>
                </c:pt>
                <c:pt idx="1">
                  <c:v>36141</c:v>
                </c:pt>
                <c:pt idx="2">
                  <c:v>37658.922000000006</c:v>
                </c:pt>
              </c:numCache>
            </c:numRef>
          </c:val>
          <c:extLst>
            <c:ext xmlns:c16="http://schemas.microsoft.com/office/drawing/2014/chart" uri="{C3380CC4-5D6E-409C-BE32-E72D297353CC}">
              <c16:uniqueId val="{00000000-559C-4B7A-B1B1-71CD7977AC50}"/>
            </c:ext>
          </c:extLst>
        </c:ser>
        <c:ser>
          <c:idx val="1"/>
          <c:order val="1"/>
          <c:tx>
            <c:strRef>
              <c:f>'Punto de Equilibrio'!$B$43</c:f>
              <c:strCache>
                <c:ptCount val="1"/>
                <c:pt idx="0">
                  <c:v>Punto de equilibrio en Unidades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'Punto de Equilibrio'!$C$41:$E$41</c:f>
              <c:strCache>
                <c:ptCount val="3"/>
                <c:pt idx="0">
                  <c:v>Año 1 </c:v>
                </c:pt>
                <c:pt idx="1">
                  <c:v>Año 2 </c:v>
                </c:pt>
                <c:pt idx="2">
                  <c:v>Año 3 </c:v>
                </c:pt>
              </c:strCache>
            </c:strRef>
          </c:cat>
          <c:val>
            <c:numRef>
              <c:f>'Punto de Equilibrio'!$C$43:$E$43</c:f>
              <c:numCache>
                <c:formatCode>_-* #,##0_-;\-* #,##0_-;_-* "-"??_-;_-@_-</c:formatCode>
                <c:ptCount val="3"/>
                <c:pt idx="0">
                  <c:v>1341.4973672727272</c:v>
                </c:pt>
                <c:pt idx="1">
                  <c:v>1371.3694211447812</c:v>
                </c:pt>
                <c:pt idx="2">
                  <c:v>1392.3196643172466</c:v>
                </c:pt>
              </c:numCache>
            </c:numRef>
          </c:val>
          <c:extLst>
            <c:ext xmlns:c16="http://schemas.microsoft.com/office/drawing/2014/chart" uri="{C3380CC4-5D6E-409C-BE32-E72D297353CC}">
              <c16:uniqueId val="{00000001-559C-4B7A-B1B1-71CD7977AC50}"/>
            </c:ext>
          </c:extLst>
        </c:ser>
        <c:dLbls>
          <c:showLegendKey val="0"/>
          <c:showVal val="0"/>
          <c:showCatName val="0"/>
          <c:showSerName val="0"/>
          <c:showPercent val="0"/>
          <c:showBubbleSize val="0"/>
        </c:dLbls>
        <c:gapWidth val="219"/>
        <c:overlap val="-27"/>
        <c:axId val="1057775343"/>
        <c:axId val="1057775823"/>
      </c:barChart>
      <c:catAx>
        <c:axId val="1057775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7775823"/>
        <c:crosses val="autoZero"/>
        <c:auto val="1"/>
        <c:lblAlgn val="ctr"/>
        <c:lblOffset val="100"/>
        <c:noMultiLvlLbl val="0"/>
      </c:catAx>
      <c:valAx>
        <c:axId val="105777582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57775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chart" Target="../charts/chart18.xml"/><Relationship Id="rId7" Type="http://schemas.openxmlformats.org/officeDocument/2006/relationships/chart" Target="../charts/chart22.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editAs="oneCell">
    <xdr:from>
      <xdr:col>9</xdr:col>
      <xdr:colOff>254000</xdr:colOff>
      <xdr:row>12</xdr:row>
      <xdr:rowOff>38100</xdr:rowOff>
    </xdr:from>
    <xdr:to>
      <xdr:col>18</xdr:col>
      <xdr:colOff>152400</xdr:colOff>
      <xdr:row>14</xdr:row>
      <xdr:rowOff>3362116</xdr:rowOff>
    </xdr:to>
    <xdr:pic>
      <xdr:nvPicPr>
        <xdr:cNvPr id="5" name="Imagen 4">
          <a:extLst>
            <a:ext uri="{FF2B5EF4-FFF2-40B4-BE49-F238E27FC236}">
              <a16:creationId xmlns:a16="http://schemas.microsoft.com/office/drawing/2014/main" id="{6781FA59-4E37-E396-8F64-C00F6108E79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9182100" y="11455400"/>
          <a:ext cx="7772400" cy="44924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714375</xdr:colOff>
      <xdr:row>37</xdr:row>
      <xdr:rowOff>139700</xdr:rowOff>
    </xdr:from>
    <xdr:to>
      <xdr:col>10</xdr:col>
      <xdr:colOff>171449</xdr:colOff>
      <xdr:row>49</xdr:row>
      <xdr:rowOff>117474</xdr:rowOff>
    </xdr:to>
    <xdr:sp macro="" textlink="">
      <xdr:nvSpPr>
        <xdr:cNvPr id="2" name="CuadroTexto 1">
          <a:extLst>
            <a:ext uri="{FF2B5EF4-FFF2-40B4-BE49-F238E27FC236}">
              <a16:creationId xmlns:a16="http://schemas.microsoft.com/office/drawing/2014/main" id="{85E9CD99-9878-4576-8CA5-85D142569C10}"/>
            </a:ext>
          </a:extLst>
        </xdr:cNvPr>
        <xdr:cNvSpPr txBox="1"/>
      </xdr:nvSpPr>
      <xdr:spPr>
        <a:xfrm>
          <a:off x="6791325" y="7054850"/>
          <a:ext cx="3819524" cy="2158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de Revision : </a:t>
          </a:r>
        </a:p>
        <a:p>
          <a:r>
            <a:rPr lang="es-CO" sz="1100"/>
            <a:t>* Recuerda</a:t>
          </a:r>
          <a:r>
            <a:rPr lang="es-CO" sz="1100" baseline="0"/>
            <a:t> Revisar los items de Inversion , no todos deben ser incluidos en el calculo </a:t>
          </a:r>
        </a:p>
        <a:p>
          <a:r>
            <a:rPr lang="es-CO" sz="1100"/>
            <a:t>* El total de la Inversion debes revisarlo pues</a:t>
          </a:r>
          <a:r>
            <a:rPr lang="es-CO" sz="1100" baseline="0"/>
            <a:t> en muchas ocaciones es el valor que viaja a la hoja de Financiacion </a:t>
          </a:r>
        </a:p>
        <a:p>
          <a:r>
            <a:rPr lang="es-CO" sz="1100" baseline="0"/>
            <a:t>* Tener Inversiones Escalonadas ( es decir a traves de los años alivia el flujo de caja , y mejora los resultados Financieros ( recuerda que no todo se puede hacer en el prmer año.</a:t>
          </a:r>
        </a:p>
        <a:p>
          <a:r>
            <a:rPr lang="es-CO" sz="1100" baseline="0"/>
            <a:t>* si se pueden postergar Inversiones por la dinamica del negocio es mejor hacerlo de esta forma se alivia los resultados Financieros y no se incurren en gastos Innecesarios o que despues sean dificiles de reomponer. </a:t>
          </a:r>
          <a:endParaRPr lang="es-CO" sz="1100"/>
        </a:p>
      </xdr:txBody>
    </xdr:sp>
    <xdr:clientData/>
  </xdr:twoCellAnchor>
  <xdr:twoCellAnchor>
    <xdr:from>
      <xdr:col>13</xdr:col>
      <xdr:colOff>257175</xdr:colOff>
      <xdr:row>2</xdr:row>
      <xdr:rowOff>66675</xdr:rowOff>
    </xdr:from>
    <xdr:to>
      <xdr:col>19</xdr:col>
      <xdr:colOff>390525</xdr:colOff>
      <xdr:row>14</xdr:row>
      <xdr:rowOff>11112</xdr:rowOff>
    </xdr:to>
    <xdr:graphicFrame macro="">
      <xdr:nvGraphicFramePr>
        <xdr:cNvPr id="4" name="Gráfico 3">
          <a:extLst>
            <a:ext uri="{FF2B5EF4-FFF2-40B4-BE49-F238E27FC236}">
              <a16:creationId xmlns:a16="http://schemas.microsoft.com/office/drawing/2014/main" id="{DA074755-C41A-5214-09BE-E3B55D097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323850</xdr:colOff>
      <xdr:row>16</xdr:row>
      <xdr:rowOff>39687</xdr:rowOff>
    </xdr:from>
    <xdr:to>
      <xdr:col>19</xdr:col>
      <xdr:colOff>304800</xdr:colOff>
      <xdr:row>27</xdr:row>
      <xdr:rowOff>66675</xdr:rowOff>
    </xdr:to>
    <xdr:graphicFrame macro="">
      <xdr:nvGraphicFramePr>
        <xdr:cNvPr id="5" name="Gráfico 4">
          <a:extLst>
            <a:ext uri="{FF2B5EF4-FFF2-40B4-BE49-F238E27FC236}">
              <a16:creationId xmlns:a16="http://schemas.microsoft.com/office/drawing/2014/main" id="{C35FFF72-5B61-8947-FCF2-931BE984E6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323851</xdr:colOff>
      <xdr:row>29</xdr:row>
      <xdr:rowOff>58737</xdr:rowOff>
    </xdr:from>
    <xdr:to>
      <xdr:col>19</xdr:col>
      <xdr:colOff>228600</xdr:colOff>
      <xdr:row>44</xdr:row>
      <xdr:rowOff>58737</xdr:rowOff>
    </xdr:to>
    <xdr:graphicFrame macro="">
      <xdr:nvGraphicFramePr>
        <xdr:cNvPr id="6" name="Gráfico 5">
          <a:extLst>
            <a:ext uri="{FF2B5EF4-FFF2-40B4-BE49-F238E27FC236}">
              <a16:creationId xmlns:a16="http://schemas.microsoft.com/office/drawing/2014/main" id="{9CB54613-D03A-A940-BC2F-44444D4EEC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295275</xdr:colOff>
      <xdr:row>35</xdr:row>
      <xdr:rowOff>106362</xdr:rowOff>
    </xdr:from>
    <xdr:to>
      <xdr:col>5</xdr:col>
      <xdr:colOff>282575</xdr:colOff>
      <xdr:row>50</xdr:row>
      <xdr:rowOff>125412</xdr:rowOff>
    </xdr:to>
    <xdr:graphicFrame macro="">
      <xdr:nvGraphicFramePr>
        <xdr:cNvPr id="7" name="Gráfico 6">
          <a:extLst>
            <a:ext uri="{FF2B5EF4-FFF2-40B4-BE49-F238E27FC236}">
              <a16:creationId xmlns:a16="http://schemas.microsoft.com/office/drawing/2014/main" id="{AE11A96B-5BFE-1C20-4677-DEDB8C2E12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502064</xdr:colOff>
      <xdr:row>23</xdr:row>
      <xdr:rowOff>33129</xdr:rowOff>
    </xdr:from>
    <xdr:to>
      <xdr:col>12</xdr:col>
      <xdr:colOff>331856</xdr:colOff>
      <xdr:row>37</xdr:row>
      <xdr:rowOff>1655</xdr:rowOff>
    </xdr:to>
    <xdr:sp macro="" textlink="">
      <xdr:nvSpPr>
        <xdr:cNvPr id="2" name="CuadroTexto 1">
          <a:extLst>
            <a:ext uri="{FF2B5EF4-FFF2-40B4-BE49-F238E27FC236}">
              <a16:creationId xmlns:a16="http://schemas.microsoft.com/office/drawing/2014/main" id="{F04FADC8-C21A-4E08-A333-8B1952A8C76D}"/>
            </a:ext>
          </a:extLst>
        </xdr:cNvPr>
        <xdr:cNvSpPr txBox="1"/>
      </xdr:nvSpPr>
      <xdr:spPr>
        <a:xfrm>
          <a:off x="9339607" y="4356651"/>
          <a:ext cx="4219575"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de Revision:</a:t>
          </a:r>
          <a:r>
            <a:rPr lang="es-CO" sz="1100" b="1" baseline="0"/>
            <a:t> </a:t>
          </a:r>
        </a:p>
        <a:p>
          <a:r>
            <a:rPr lang="es-CO" sz="1100" baseline="0"/>
            <a:t>* Recuerda que la cuota es Fija para los periodos del prestamo.</a:t>
          </a:r>
        </a:p>
        <a:p>
          <a:r>
            <a:rPr lang="es-CO" sz="1100" baseline="0"/>
            <a:t>*Este Rubro es importante dado que sera el monto que se debe pagar a la entidad correspondiente el atraso de esta cuota debera asegurarse con el flujo de Caja Natural</a:t>
          </a:r>
          <a:endParaRPr lang="es-CO" sz="1100"/>
        </a:p>
      </xdr:txBody>
    </xdr:sp>
    <xdr:clientData/>
  </xdr:twoCellAnchor>
  <xdr:twoCellAnchor>
    <xdr:from>
      <xdr:col>8</xdr:col>
      <xdr:colOff>530087</xdr:colOff>
      <xdr:row>38</xdr:row>
      <xdr:rowOff>129346</xdr:rowOff>
    </xdr:from>
    <xdr:to>
      <xdr:col>12</xdr:col>
      <xdr:colOff>251929</xdr:colOff>
      <xdr:row>53</xdr:row>
      <xdr:rowOff>28160</xdr:rowOff>
    </xdr:to>
    <xdr:sp macro="" textlink="">
      <xdr:nvSpPr>
        <xdr:cNvPr id="3" name="CuadroTexto 2">
          <a:extLst>
            <a:ext uri="{FF2B5EF4-FFF2-40B4-BE49-F238E27FC236}">
              <a16:creationId xmlns:a16="http://schemas.microsoft.com/office/drawing/2014/main" id="{1AA96AE5-F246-4B33-8661-2DAFFC0F7ACB}"/>
            </a:ext>
          </a:extLst>
        </xdr:cNvPr>
        <xdr:cNvSpPr txBox="1"/>
      </xdr:nvSpPr>
      <xdr:spPr>
        <a:xfrm>
          <a:off x="9367630" y="7219259"/>
          <a:ext cx="4111625" cy="263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de</a:t>
          </a:r>
          <a:r>
            <a:rPr lang="es-CO" sz="1100" b="1" baseline="0"/>
            <a:t> Revision: </a:t>
          </a:r>
        </a:p>
        <a:p>
          <a:r>
            <a:rPr lang="es-CO" sz="1100" baseline="0"/>
            <a:t>*Este Grafico muestra la forma como se debe comportar la amotizacion y el capital Pendiente. </a:t>
          </a:r>
        </a:p>
        <a:p>
          <a:r>
            <a:rPr lang="es-CO" sz="1100" baseline="0"/>
            <a:t>* La grafica muestra como a traves del tiempo la dinamica del credito permite cancelar la Obigacion   </a:t>
          </a:r>
        </a:p>
        <a:p>
          <a:endParaRPr lang="es-CO" sz="1100" baseline="0"/>
        </a:p>
        <a:p>
          <a:endParaRPr lang="es-CO" sz="1100"/>
        </a:p>
      </xdr:txBody>
    </xdr:sp>
    <xdr:clientData/>
  </xdr:twoCellAnchor>
  <xdr:twoCellAnchor>
    <xdr:from>
      <xdr:col>12</xdr:col>
      <xdr:colOff>651151</xdr:colOff>
      <xdr:row>38</xdr:row>
      <xdr:rowOff>79789</xdr:rowOff>
    </xdr:from>
    <xdr:to>
      <xdr:col>19</xdr:col>
      <xdr:colOff>248479</xdr:colOff>
      <xdr:row>53</xdr:row>
      <xdr:rowOff>102428</xdr:rowOff>
    </xdr:to>
    <xdr:graphicFrame macro="">
      <xdr:nvGraphicFramePr>
        <xdr:cNvPr id="4" name="Gráfico 3">
          <a:extLst>
            <a:ext uri="{FF2B5EF4-FFF2-40B4-BE49-F238E27FC236}">
              <a16:creationId xmlns:a16="http://schemas.microsoft.com/office/drawing/2014/main" id="{F1179ADE-A692-B9D6-DD97-6A52A88134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482600</xdr:colOff>
      <xdr:row>3</xdr:row>
      <xdr:rowOff>11112</xdr:rowOff>
    </xdr:from>
    <xdr:to>
      <xdr:col>18</xdr:col>
      <xdr:colOff>606425</xdr:colOff>
      <xdr:row>16</xdr:row>
      <xdr:rowOff>11112</xdr:rowOff>
    </xdr:to>
    <xdr:graphicFrame macro="">
      <xdr:nvGraphicFramePr>
        <xdr:cNvPr id="2" name="Gráfico 1">
          <a:extLst>
            <a:ext uri="{FF2B5EF4-FFF2-40B4-BE49-F238E27FC236}">
              <a16:creationId xmlns:a16="http://schemas.microsoft.com/office/drawing/2014/main" id="{8F28200E-EE36-F07E-4911-C9F86F173B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463550</xdr:colOff>
      <xdr:row>17</xdr:row>
      <xdr:rowOff>152400</xdr:rowOff>
    </xdr:from>
    <xdr:to>
      <xdr:col>17</xdr:col>
      <xdr:colOff>539750</xdr:colOff>
      <xdr:row>23</xdr:row>
      <xdr:rowOff>9525</xdr:rowOff>
    </xdr:to>
    <xdr:sp macro="" textlink="">
      <xdr:nvSpPr>
        <xdr:cNvPr id="3" name="CuadroTexto 2">
          <a:extLst>
            <a:ext uri="{FF2B5EF4-FFF2-40B4-BE49-F238E27FC236}">
              <a16:creationId xmlns:a16="http://schemas.microsoft.com/office/drawing/2014/main" id="{096417D6-A27D-DBFF-6B58-FF90A86B946D}"/>
            </a:ext>
          </a:extLst>
        </xdr:cNvPr>
        <xdr:cNvSpPr txBox="1"/>
      </xdr:nvSpPr>
      <xdr:spPr>
        <a:xfrm>
          <a:off x="8826500" y="3667125"/>
          <a:ext cx="6477000" cy="942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Tips Costos Variables</a:t>
          </a:r>
          <a:r>
            <a:rPr lang="es-CO" sz="1100" baseline="0"/>
            <a:t> </a:t>
          </a:r>
        </a:p>
        <a:p>
          <a:r>
            <a:rPr lang="es-CO" sz="1100" baseline="0"/>
            <a:t>*Recuerda Los costos vriables no pueden Superar el 100% </a:t>
          </a:r>
        </a:p>
        <a:p>
          <a:r>
            <a:rPr lang="es-CO" sz="1100" baseline="0"/>
            <a:t>*En lo posble no superar el 50% del Precio Unitario </a:t>
          </a:r>
        </a:p>
        <a:p>
          <a:r>
            <a:rPr lang="es-CO" sz="1100" baseline="0"/>
            <a:t>*Ser eficientes en su designacion hace mas viable el modelo de Negocio</a:t>
          </a:r>
        </a:p>
        <a:p>
          <a:r>
            <a:rPr lang="es-CO" sz="1100" baseline="0"/>
            <a:t>*El costo Variable siempre deoendera de la Produccion y de las tarifas Ofrecidas  </a:t>
          </a:r>
          <a:endParaRPr lang="es-CO" sz="1100"/>
        </a:p>
      </xdr:txBody>
    </xdr:sp>
    <xdr:clientData/>
  </xdr:twoCellAnchor>
  <xdr:twoCellAnchor>
    <xdr:from>
      <xdr:col>10</xdr:col>
      <xdr:colOff>209550</xdr:colOff>
      <xdr:row>9</xdr:row>
      <xdr:rowOff>9525</xdr:rowOff>
    </xdr:from>
    <xdr:to>
      <xdr:col>18</xdr:col>
      <xdr:colOff>409575</xdr:colOff>
      <xdr:row>9</xdr:row>
      <xdr:rowOff>19050</xdr:rowOff>
    </xdr:to>
    <xdr:cxnSp macro="">
      <xdr:nvCxnSpPr>
        <xdr:cNvPr id="5" name="Conector recto 4">
          <a:extLst>
            <a:ext uri="{FF2B5EF4-FFF2-40B4-BE49-F238E27FC236}">
              <a16:creationId xmlns:a16="http://schemas.microsoft.com/office/drawing/2014/main" id="{D93CCF9C-5D62-DC49-5F6E-5FB8B1A021B1}"/>
            </a:ext>
          </a:extLst>
        </xdr:cNvPr>
        <xdr:cNvCxnSpPr/>
      </xdr:nvCxnSpPr>
      <xdr:spPr>
        <a:xfrm flipV="1">
          <a:off x="8953500" y="1857375"/>
          <a:ext cx="6296025" cy="9525"/>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257176</xdr:colOff>
      <xdr:row>2</xdr:row>
      <xdr:rowOff>105834</xdr:rowOff>
    </xdr:from>
    <xdr:to>
      <xdr:col>5</xdr:col>
      <xdr:colOff>238126</xdr:colOff>
      <xdr:row>5</xdr:row>
      <xdr:rowOff>123824</xdr:rowOff>
    </xdr:to>
    <xdr:sp macro="" textlink="">
      <xdr:nvSpPr>
        <xdr:cNvPr id="3" name="2 CuadroTexto">
          <a:extLst>
            <a:ext uri="{FF2B5EF4-FFF2-40B4-BE49-F238E27FC236}">
              <a16:creationId xmlns:a16="http://schemas.microsoft.com/office/drawing/2014/main" id="{00000000-0008-0000-0500-000003000000}"/>
            </a:ext>
          </a:extLst>
        </xdr:cNvPr>
        <xdr:cNvSpPr txBox="1"/>
      </xdr:nvSpPr>
      <xdr:spPr>
        <a:xfrm>
          <a:off x="257176" y="1544109"/>
          <a:ext cx="4238625" cy="589490"/>
        </a:xfrm>
        <a:prstGeom prst="rect">
          <a:avLst/>
        </a:prstGeom>
        <a:solidFill>
          <a:sysClr val="window" lastClr="FFFFFF"/>
        </a:solidFill>
        <a:ln/>
        <a:effectLst>
          <a:softEdge rad="12700"/>
        </a:effectLst>
      </xdr:spPr>
      <xdr:style>
        <a:lnRef idx="2">
          <a:schemeClr val="accent1"/>
        </a:lnRef>
        <a:fillRef idx="1">
          <a:schemeClr val="lt1"/>
        </a:fillRef>
        <a:effectRef idx="0">
          <a:schemeClr val="accent1"/>
        </a:effectRef>
        <a:fontRef idx="minor">
          <a:schemeClr val="dk1"/>
        </a:fontRef>
      </xdr:style>
      <xdr:txBody>
        <a:bodyPr vertOverflow="clip" wrap="square" rtlCol="0" anchor="t"/>
        <a:lstStyle/>
        <a:p>
          <a:r>
            <a:rPr lang="es-ES" sz="1050" b="1">
              <a:latin typeface="Gisha" panose="020B0502040204020203" pitchFamily="34" charset="-79"/>
              <a:cs typeface="Gisha" panose="020B0502040204020203" pitchFamily="34" charset="-79"/>
            </a:rPr>
            <a:t>Instrucciones: </a:t>
          </a:r>
          <a:r>
            <a:rPr lang="es-ES" sz="1050" b="1" baseline="0">
              <a:latin typeface="Gisha" panose="020B0502040204020203" pitchFamily="34" charset="-79"/>
              <a:cs typeface="Gisha" panose="020B0502040204020203" pitchFamily="34" charset="-79"/>
            </a:rPr>
            <a:t> </a:t>
          </a:r>
          <a:r>
            <a:rPr lang="es-ES" sz="1050" b="0" baseline="0">
              <a:solidFill>
                <a:sysClr val="windowText" lastClr="000000"/>
              </a:solidFill>
              <a:latin typeface="Gisha" panose="020B0502040204020203" pitchFamily="34" charset="-79"/>
              <a:cs typeface="Gisha" panose="020B0502040204020203" pitchFamily="34" charset="-79"/>
            </a:rPr>
            <a:t>Introduce el valor de los gastos fijos (independientes de cuanto vendas) que esperas que se repitan mes a mes o con cierta regularidad. En ese caso introduce la media mensual.</a:t>
          </a:r>
          <a:endParaRPr lang="es-ES" sz="1050" b="0" baseline="0">
            <a:solidFill>
              <a:sysClr val="windowText" lastClr="000000"/>
            </a:solidFill>
            <a:latin typeface="Gisha" panose="020B0502040204020203" pitchFamily="34" charset="-79"/>
            <a:ea typeface="+mn-ea"/>
            <a:cs typeface="Gisha" panose="020B0502040204020203" pitchFamily="34" charset="-79"/>
          </a:endParaRPr>
        </a:p>
        <a:p>
          <a:endParaRPr lang="es-ES" sz="1050" baseline="0">
            <a:solidFill>
              <a:srgbClr val="FF0000"/>
            </a:solidFill>
          </a:endParaRPr>
        </a:p>
      </xdr:txBody>
    </xdr:sp>
    <xdr:clientData/>
  </xdr:twoCellAnchor>
  <xdr:twoCellAnchor>
    <xdr:from>
      <xdr:col>4</xdr:col>
      <xdr:colOff>9524</xdr:colOff>
      <xdr:row>18</xdr:row>
      <xdr:rowOff>133350</xdr:rowOff>
    </xdr:from>
    <xdr:to>
      <xdr:col>16</xdr:col>
      <xdr:colOff>590549</xdr:colOff>
      <xdr:row>20</xdr:row>
      <xdr:rowOff>161925</xdr:rowOff>
    </xdr:to>
    <xdr:sp macro="" textlink="">
      <xdr:nvSpPr>
        <xdr:cNvPr id="4" name="3 CuadroTexto">
          <a:extLst>
            <a:ext uri="{FF2B5EF4-FFF2-40B4-BE49-F238E27FC236}">
              <a16:creationId xmlns:a16="http://schemas.microsoft.com/office/drawing/2014/main" id="{00000000-0008-0000-0500-000004000000}"/>
            </a:ext>
          </a:extLst>
        </xdr:cNvPr>
        <xdr:cNvSpPr txBox="1"/>
      </xdr:nvSpPr>
      <xdr:spPr>
        <a:xfrm>
          <a:off x="3190874" y="4886325"/>
          <a:ext cx="8334375" cy="438150"/>
        </a:xfrm>
        <a:prstGeom prst="rect">
          <a:avLst/>
        </a:prstGeom>
        <a:solidFill>
          <a:sysClr val="window" lastClr="FFFFFF"/>
        </a:solidFill>
        <a:ln/>
        <a:effectLst>
          <a:softEdge rad="12700"/>
        </a:effectLst>
      </xdr:spPr>
      <xdr:style>
        <a:lnRef idx="2">
          <a:schemeClr val="accent1"/>
        </a:lnRef>
        <a:fillRef idx="1">
          <a:schemeClr val="lt1"/>
        </a:fillRef>
        <a:effectRef idx="0">
          <a:schemeClr val="accent1"/>
        </a:effectRef>
        <a:fontRef idx="minor">
          <a:schemeClr val="dk1"/>
        </a:fontRef>
      </xdr:style>
      <xdr:txBody>
        <a:bodyPr vertOverflow="clip" wrap="square" rtlCol="0" anchor="t"/>
        <a:lstStyle/>
        <a:p>
          <a:r>
            <a:rPr lang="es-ES" sz="1050" b="1"/>
            <a:t>Instrucciones: </a:t>
          </a:r>
          <a:r>
            <a:rPr lang="es-ES" sz="1050" b="1" baseline="0"/>
            <a:t> </a:t>
          </a:r>
          <a:r>
            <a:rPr lang="es-ES" sz="1050" b="0" baseline="0">
              <a:solidFill>
                <a:sysClr val="windowText" lastClr="000000"/>
              </a:solidFill>
            </a:rPr>
            <a:t>Introduce para cada puesto de trabajo a crear el sueldo mensual bruto, los complementos, la parte proporcional de las pagas extras y las características del contrato (duración, jornada) así como el % de cotización por accidentes de trabajo.</a:t>
          </a:r>
          <a:endParaRPr lang="es-ES" sz="1050" b="0" baseline="0">
            <a:solidFill>
              <a:sysClr val="windowText" lastClr="000000"/>
            </a:solidFill>
            <a:latin typeface="+mn-lt"/>
            <a:ea typeface="+mn-ea"/>
            <a:cs typeface="+mn-cs"/>
          </a:endParaRPr>
        </a:p>
        <a:p>
          <a:endParaRPr lang="es-ES" sz="1050" baseline="0">
            <a:solidFill>
              <a:srgbClr val="FF0000"/>
            </a:solidFill>
          </a:endParaRPr>
        </a:p>
      </xdr:txBody>
    </xdr:sp>
    <xdr:clientData/>
  </xdr:twoCellAnchor>
  <xdr:twoCellAnchor>
    <xdr:from>
      <xdr:col>9</xdr:col>
      <xdr:colOff>571499</xdr:colOff>
      <xdr:row>0</xdr:row>
      <xdr:rowOff>77787</xdr:rowOff>
    </xdr:from>
    <xdr:to>
      <xdr:col>18</xdr:col>
      <xdr:colOff>431799</xdr:colOff>
      <xdr:row>18</xdr:row>
      <xdr:rowOff>11112</xdr:rowOff>
    </xdr:to>
    <xdr:graphicFrame macro="">
      <xdr:nvGraphicFramePr>
        <xdr:cNvPr id="2" name="Gráfico 1">
          <a:extLst>
            <a:ext uri="{FF2B5EF4-FFF2-40B4-BE49-F238E27FC236}">
              <a16:creationId xmlns:a16="http://schemas.microsoft.com/office/drawing/2014/main" id="{85D075D1-9135-0990-BFA4-12F07076F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857250</xdr:colOff>
      <xdr:row>9</xdr:row>
      <xdr:rowOff>76200</xdr:rowOff>
    </xdr:from>
    <xdr:to>
      <xdr:col>18</xdr:col>
      <xdr:colOff>266700</xdr:colOff>
      <xdr:row>9</xdr:row>
      <xdr:rowOff>76200</xdr:rowOff>
    </xdr:to>
    <xdr:cxnSp macro="">
      <xdr:nvCxnSpPr>
        <xdr:cNvPr id="5" name="Conector recto 4">
          <a:extLst>
            <a:ext uri="{FF2B5EF4-FFF2-40B4-BE49-F238E27FC236}">
              <a16:creationId xmlns:a16="http://schemas.microsoft.com/office/drawing/2014/main" id="{89E5E828-10C1-4E01-A3E7-7DAD33F4B891}"/>
            </a:ext>
          </a:extLst>
        </xdr:cNvPr>
        <xdr:cNvCxnSpPr/>
      </xdr:nvCxnSpPr>
      <xdr:spPr>
        <a:xfrm>
          <a:off x="7981950" y="1609725"/>
          <a:ext cx="5924550" cy="0"/>
        </a:xfrm>
        <a:prstGeom prst="line">
          <a:avLst/>
        </a:prstGeom>
        <a:ln>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104775</xdr:colOff>
      <xdr:row>32</xdr:row>
      <xdr:rowOff>42862</xdr:rowOff>
    </xdr:from>
    <xdr:to>
      <xdr:col>11</xdr:col>
      <xdr:colOff>76200</xdr:colOff>
      <xdr:row>47</xdr:row>
      <xdr:rowOff>71437</xdr:rowOff>
    </xdr:to>
    <xdr:graphicFrame macro="">
      <xdr:nvGraphicFramePr>
        <xdr:cNvPr id="3" name="Gráfico 2">
          <a:extLst>
            <a:ext uri="{FF2B5EF4-FFF2-40B4-BE49-F238E27FC236}">
              <a16:creationId xmlns:a16="http://schemas.microsoft.com/office/drawing/2014/main" id="{00F8250D-086C-5209-593D-88B2DD84D0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685800</xdr:colOff>
      <xdr:row>46</xdr:row>
      <xdr:rowOff>176212</xdr:rowOff>
    </xdr:from>
    <xdr:to>
      <xdr:col>4</xdr:col>
      <xdr:colOff>781050</xdr:colOff>
      <xdr:row>62</xdr:row>
      <xdr:rowOff>23812</xdr:rowOff>
    </xdr:to>
    <xdr:graphicFrame macro="">
      <xdr:nvGraphicFramePr>
        <xdr:cNvPr id="4" name="Gráfico 3">
          <a:extLst>
            <a:ext uri="{FF2B5EF4-FFF2-40B4-BE49-F238E27FC236}">
              <a16:creationId xmlns:a16="http://schemas.microsoft.com/office/drawing/2014/main" id="{655C30DD-EBBB-434F-9292-5EB042FA74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306455</xdr:colOff>
      <xdr:row>32</xdr:row>
      <xdr:rowOff>138</xdr:rowOff>
    </xdr:from>
    <xdr:to>
      <xdr:col>7</xdr:col>
      <xdr:colOff>687456</xdr:colOff>
      <xdr:row>48</xdr:row>
      <xdr:rowOff>140803</xdr:rowOff>
    </xdr:to>
    <xdr:graphicFrame macro="">
      <xdr:nvGraphicFramePr>
        <xdr:cNvPr id="3" name="Gráfico 2">
          <a:extLst>
            <a:ext uri="{FF2B5EF4-FFF2-40B4-BE49-F238E27FC236}">
              <a16:creationId xmlns:a16="http://schemas.microsoft.com/office/drawing/2014/main" id="{5711651C-9290-00A7-CBF9-B56227E5C1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124239</xdr:colOff>
      <xdr:row>31</xdr:row>
      <xdr:rowOff>179181</xdr:rowOff>
    </xdr:from>
    <xdr:to>
      <xdr:col>14</xdr:col>
      <xdr:colOff>66260</xdr:colOff>
      <xdr:row>48</xdr:row>
      <xdr:rowOff>91109</xdr:rowOff>
    </xdr:to>
    <xdr:graphicFrame macro="">
      <xdr:nvGraphicFramePr>
        <xdr:cNvPr id="4" name="Gráfico 3">
          <a:extLst>
            <a:ext uri="{FF2B5EF4-FFF2-40B4-BE49-F238E27FC236}">
              <a16:creationId xmlns:a16="http://schemas.microsoft.com/office/drawing/2014/main" id="{20A81592-E075-87D0-859D-76957D120E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637189</xdr:colOff>
      <xdr:row>4</xdr:row>
      <xdr:rowOff>106308</xdr:rowOff>
    </xdr:from>
    <xdr:to>
      <xdr:col>17</xdr:col>
      <xdr:colOff>397531</xdr:colOff>
      <xdr:row>19</xdr:row>
      <xdr:rowOff>25072</xdr:rowOff>
    </xdr:to>
    <xdr:graphicFrame macro="">
      <xdr:nvGraphicFramePr>
        <xdr:cNvPr id="2" name="Gráfico 1">
          <a:extLst>
            <a:ext uri="{FF2B5EF4-FFF2-40B4-BE49-F238E27FC236}">
              <a16:creationId xmlns:a16="http://schemas.microsoft.com/office/drawing/2014/main" id="{34980667-EF28-392C-2783-59874798C8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420874</xdr:colOff>
      <xdr:row>1</xdr:row>
      <xdr:rowOff>26877</xdr:rowOff>
    </xdr:from>
    <xdr:to>
      <xdr:col>21</xdr:col>
      <xdr:colOff>459564</xdr:colOff>
      <xdr:row>12</xdr:row>
      <xdr:rowOff>109796</xdr:rowOff>
    </xdr:to>
    <xdr:sp macro="" textlink="">
      <xdr:nvSpPr>
        <xdr:cNvPr id="2" name="CuadroTexto 1">
          <a:extLst>
            <a:ext uri="{FF2B5EF4-FFF2-40B4-BE49-F238E27FC236}">
              <a16:creationId xmlns:a16="http://schemas.microsoft.com/office/drawing/2014/main" id="{D529BBA4-F2F8-4F15-A94C-12324E81357C}"/>
            </a:ext>
          </a:extLst>
        </xdr:cNvPr>
        <xdr:cNvSpPr txBox="1"/>
      </xdr:nvSpPr>
      <xdr:spPr>
        <a:xfrm>
          <a:off x="15727327" y="204086"/>
          <a:ext cx="4025900" cy="209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para el Activo </a:t>
          </a:r>
        </a:p>
        <a:p>
          <a:r>
            <a:rPr lang="es-CO" sz="1100"/>
            <a:t>*Deben ser siempre Crecientes o por lo</a:t>
          </a:r>
          <a:r>
            <a:rPr lang="es-CO" sz="1100" baseline="0"/>
            <a:t> menos mantenerse </a:t>
          </a:r>
        </a:p>
        <a:p>
          <a:r>
            <a:rPr lang="es-CO" sz="1100" baseline="0"/>
            <a:t>* Aqui estan un gran respaldo para la empresa en una posible quiebra </a:t>
          </a:r>
        </a:p>
        <a:p>
          <a:r>
            <a:rPr lang="es-CO" sz="1100" baseline="0"/>
            <a:t>*no se deben deteiorar y si presentan comportamientos decreciente a traves de los años algo no funciona bien por lo menos deben mantenerse. </a:t>
          </a:r>
          <a:endParaRPr lang="es-CO" sz="1100"/>
        </a:p>
      </xdr:txBody>
    </xdr:sp>
    <xdr:clientData/>
  </xdr:twoCellAnchor>
  <xdr:twoCellAnchor>
    <xdr:from>
      <xdr:col>16</xdr:col>
      <xdr:colOff>431948</xdr:colOff>
      <xdr:row>18</xdr:row>
      <xdr:rowOff>132906</xdr:rowOff>
    </xdr:from>
    <xdr:to>
      <xdr:col>21</xdr:col>
      <xdr:colOff>480163</xdr:colOff>
      <xdr:row>31</xdr:row>
      <xdr:rowOff>95545</xdr:rowOff>
    </xdr:to>
    <xdr:sp macro="" textlink="">
      <xdr:nvSpPr>
        <xdr:cNvPr id="4" name="CuadroTexto 3">
          <a:extLst>
            <a:ext uri="{FF2B5EF4-FFF2-40B4-BE49-F238E27FC236}">
              <a16:creationId xmlns:a16="http://schemas.microsoft.com/office/drawing/2014/main" id="{3CD3BFA3-CBEC-42FA-BE36-85F99E9F7134}"/>
            </a:ext>
          </a:extLst>
        </xdr:cNvPr>
        <xdr:cNvSpPr txBox="1"/>
      </xdr:nvSpPr>
      <xdr:spPr>
        <a:xfrm>
          <a:off x="15738401" y="3400203"/>
          <a:ext cx="4035425" cy="208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para el Pasivo</a:t>
          </a:r>
          <a:r>
            <a:rPr lang="es-CO" sz="1100" b="1" baseline="0"/>
            <a:t> </a:t>
          </a:r>
          <a:endParaRPr lang="es-CO" sz="1100" b="1"/>
        </a:p>
        <a:p>
          <a:r>
            <a:rPr lang="es-CO" sz="1100"/>
            <a:t>*Deben ser siempre revisados constantemente no incrementarse sin que vayan</a:t>
          </a:r>
          <a:r>
            <a:rPr lang="es-CO" sz="1100" baseline="0"/>
            <a:t> acompañados de nuevos ingresos  </a:t>
          </a:r>
        </a:p>
        <a:p>
          <a:r>
            <a:rPr lang="es-CO" sz="1100" baseline="0"/>
            <a:t>* Aqui estan lasobligaciones con terceros y con la misma empresa </a:t>
          </a:r>
        </a:p>
        <a:p>
          <a:r>
            <a:rPr lang="es-CO" sz="1100" baseline="0"/>
            <a:t>*No se deben deteriorar y si presentan comportamientos creciente a traves de los años algo no funciona bien por lo menos deben mantenerse. </a:t>
          </a:r>
          <a:endParaRPr lang="es-CO" sz="1100"/>
        </a:p>
      </xdr:txBody>
    </xdr:sp>
    <xdr:clientData/>
  </xdr:twoCellAnchor>
  <xdr:twoCellAnchor>
    <xdr:from>
      <xdr:col>16</xdr:col>
      <xdr:colOff>454099</xdr:colOff>
      <xdr:row>36</xdr:row>
      <xdr:rowOff>132906</xdr:rowOff>
    </xdr:from>
    <xdr:to>
      <xdr:col>21</xdr:col>
      <xdr:colOff>505489</xdr:colOff>
      <xdr:row>52</xdr:row>
      <xdr:rowOff>155057</xdr:rowOff>
    </xdr:to>
    <xdr:sp macro="" textlink="">
      <xdr:nvSpPr>
        <xdr:cNvPr id="7" name="CuadroTexto 6">
          <a:extLst>
            <a:ext uri="{FF2B5EF4-FFF2-40B4-BE49-F238E27FC236}">
              <a16:creationId xmlns:a16="http://schemas.microsoft.com/office/drawing/2014/main" id="{0BF016DA-F922-49F2-8CFF-F2A0822D3F69}"/>
            </a:ext>
          </a:extLst>
        </xdr:cNvPr>
        <xdr:cNvSpPr txBox="1"/>
      </xdr:nvSpPr>
      <xdr:spPr>
        <a:xfrm>
          <a:off x="15760552" y="6589970"/>
          <a:ext cx="403860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a:t>Tips para el</a:t>
          </a:r>
          <a:r>
            <a:rPr lang="es-CO" sz="1100" b="1" baseline="0"/>
            <a:t> Patrimonio </a:t>
          </a:r>
          <a:endParaRPr lang="es-CO" sz="1100" b="1"/>
        </a:p>
        <a:p>
          <a:r>
            <a:rPr lang="es-CO" sz="1100"/>
            <a:t>*Aqui esta el respaldo de La</a:t>
          </a:r>
          <a:r>
            <a:rPr lang="es-CO" sz="1100" baseline="0"/>
            <a:t> empresa</a:t>
          </a:r>
        </a:p>
        <a:p>
          <a:r>
            <a:rPr lang="es-CO" sz="1100" baseline="0"/>
            <a:t>* nunca debe deteriorarse </a:t>
          </a:r>
        </a:p>
        <a:p>
          <a:r>
            <a:rPr lang="es-CO" sz="1100" baseline="0"/>
            <a:t>*Cuando aumenta es un buen sintoma para la empresa </a:t>
          </a:r>
        </a:p>
        <a:p>
          <a:r>
            <a:rPr lang="es-CO" sz="1100" baseline="0"/>
            <a:t>*No pueden deterioarse si se presenta este comportamiento debe revisarse cada Rubro </a:t>
          </a:r>
          <a:endParaRPr lang="es-CO" sz="1100"/>
        </a:p>
      </xdr:txBody>
    </xdr:sp>
    <xdr:clientData/>
  </xdr:twoCellAnchor>
  <xdr:twoCellAnchor>
    <xdr:from>
      <xdr:col>10</xdr:col>
      <xdr:colOff>272459</xdr:colOff>
      <xdr:row>1</xdr:row>
      <xdr:rowOff>68226</xdr:rowOff>
    </xdr:from>
    <xdr:to>
      <xdr:col>16</xdr:col>
      <xdr:colOff>93035</xdr:colOff>
      <xdr:row>16</xdr:row>
      <xdr:rowOff>9304</xdr:rowOff>
    </xdr:to>
    <xdr:graphicFrame macro="">
      <xdr:nvGraphicFramePr>
        <xdr:cNvPr id="9" name="Gráfico 8">
          <a:extLst>
            <a:ext uri="{FF2B5EF4-FFF2-40B4-BE49-F238E27FC236}">
              <a16:creationId xmlns:a16="http://schemas.microsoft.com/office/drawing/2014/main" id="{6ADA8AB2-2EFE-78E2-F2EC-075EE878BE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294610</xdr:colOff>
      <xdr:row>17</xdr:row>
      <xdr:rowOff>68227</xdr:rowOff>
    </xdr:from>
    <xdr:to>
      <xdr:col>16</xdr:col>
      <xdr:colOff>115186</xdr:colOff>
      <xdr:row>32</xdr:row>
      <xdr:rowOff>208665</xdr:rowOff>
    </xdr:to>
    <xdr:graphicFrame macro="">
      <xdr:nvGraphicFramePr>
        <xdr:cNvPr id="10" name="Gráfico 9">
          <a:extLst>
            <a:ext uri="{FF2B5EF4-FFF2-40B4-BE49-F238E27FC236}">
              <a16:creationId xmlns:a16="http://schemas.microsoft.com/office/drawing/2014/main" id="{4BC9B885-EA4E-E763-8B23-F81877FF74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272459</xdr:colOff>
      <xdr:row>36</xdr:row>
      <xdr:rowOff>123603</xdr:rowOff>
    </xdr:from>
    <xdr:to>
      <xdr:col>16</xdr:col>
      <xdr:colOff>93035</xdr:colOff>
      <xdr:row>52</xdr:row>
      <xdr:rowOff>31454</xdr:rowOff>
    </xdr:to>
    <xdr:graphicFrame macro="">
      <xdr:nvGraphicFramePr>
        <xdr:cNvPr id="12" name="Gráfico 11">
          <a:extLst>
            <a:ext uri="{FF2B5EF4-FFF2-40B4-BE49-F238E27FC236}">
              <a16:creationId xmlns:a16="http://schemas.microsoft.com/office/drawing/2014/main" id="{73E29105-763D-7D11-60BF-85ABF3D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xdr:row>
      <xdr:rowOff>19050</xdr:rowOff>
    </xdr:from>
    <xdr:to>
      <xdr:col>7</xdr:col>
      <xdr:colOff>57150</xdr:colOff>
      <xdr:row>18</xdr:row>
      <xdr:rowOff>44450</xdr:rowOff>
    </xdr:to>
    <xdr:graphicFrame macro="">
      <xdr:nvGraphicFramePr>
        <xdr:cNvPr id="3" name="Gráfico 2">
          <a:extLst>
            <a:ext uri="{FF2B5EF4-FFF2-40B4-BE49-F238E27FC236}">
              <a16:creationId xmlns:a16="http://schemas.microsoft.com/office/drawing/2014/main" id="{A7FA9AD2-7EAB-427D-8B44-A5AF7856B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352610</xdr:colOff>
      <xdr:row>3</xdr:row>
      <xdr:rowOff>93755</xdr:rowOff>
    </xdr:from>
    <xdr:to>
      <xdr:col>17</xdr:col>
      <xdr:colOff>365310</xdr:colOff>
      <xdr:row>18</xdr:row>
      <xdr:rowOff>87405</xdr:rowOff>
    </xdr:to>
    <xdr:graphicFrame macro="">
      <xdr:nvGraphicFramePr>
        <xdr:cNvPr id="4" name="Gráfico 3">
          <a:extLst>
            <a:ext uri="{FF2B5EF4-FFF2-40B4-BE49-F238E27FC236}">
              <a16:creationId xmlns:a16="http://schemas.microsoft.com/office/drawing/2014/main" id="{7CFE0656-7A8D-4DE5-9CA8-1C95D347C8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190500</xdr:colOff>
      <xdr:row>38</xdr:row>
      <xdr:rowOff>0</xdr:rowOff>
    </xdr:from>
    <xdr:to>
      <xdr:col>17</xdr:col>
      <xdr:colOff>609600</xdr:colOff>
      <xdr:row>53</xdr:row>
      <xdr:rowOff>28575</xdr:rowOff>
    </xdr:to>
    <xdr:graphicFrame macro="">
      <xdr:nvGraphicFramePr>
        <xdr:cNvPr id="8" name="Gráfico 7">
          <a:extLst>
            <a:ext uri="{FF2B5EF4-FFF2-40B4-BE49-F238E27FC236}">
              <a16:creationId xmlns:a16="http://schemas.microsoft.com/office/drawing/2014/main" id="{826612A6-FAF6-4CFD-8DF9-8A7BDB4907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11205</xdr:colOff>
      <xdr:row>21</xdr:row>
      <xdr:rowOff>134470</xdr:rowOff>
    </xdr:from>
    <xdr:to>
      <xdr:col>5</xdr:col>
      <xdr:colOff>649940</xdr:colOff>
      <xdr:row>33</xdr:row>
      <xdr:rowOff>177052</xdr:rowOff>
    </xdr:to>
    <xdr:graphicFrame macro="">
      <xdr:nvGraphicFramePr>
        <xdr:cNvPr id="2" name="Gráfico 1">
          <a:extLst>
            <a:ext uri="{FF2B5EF4-FFF2-40B4-BE49-F238E27FC236}">
              <a16:creationId xmlns:a16="http://schemas.microsoft.com/office/drawing/2014/main" id="{33B30CFD-3066-4303-9A1F-1440CA9622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694765</xdr:colOff>
      <xdr:row>21</xdr:row>
      <xdr:rowOff>44824</xdr:rowOff>
    </xdr:from>
    <xdr:to>
      <xdr:col>11</xdr:col>
      <xdr:colOff>694765</xdr:colOff>
      <xdr:row>35</xdr:row>
      <xdr:rowOff>64994</xdr:rowOff>
    </xdr:to>
    <xdr:graphicFrame macro="">
      <xdr:nvGraphicFramePr>
        <xdr:cNvPr id="9" name="Gráfico 8">
          <a:extLst>
            <a:ext uri="{FF2B5EF4-FFF2-40B4-BE49-F238E27FC236}">
              <a16:creationId xmlns:a16="http://schemas.microsoft.com/office/drawing/2014/main" id="{4EC36900-CFB7-4DCD-AB1A-E96D720AE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44823</xdr:colOff>
      <xdr:row>21</xdr:row>
      <xdr:rowOff>33619</xdr:rowOff>
    </xdr:from>
    <xdr:to>
      <xdr:col>17</xdr:col>
      <xdr:colOff>571500</xdr:colOff>
      <xdr:row>35</xdr:row>
      <xdr:rowOff>109819</xdr:rowOff>
    </xdr:to>
    <xdr:graphicFrame macro="">
      <xdr:nvGraphicFramePr>
        <xdr:cNvPr id="10" name="Gráfico 9">
          <a:extLst>
            <a:ext uri="{FF2B5EF4-FFF2-40B4-BE49-F238E27FC236}">
              <a16:creationId xmlns:a16="http://schemas.microsoft.com/office/drawing/2014/main" id="{7A0422F1-5179-4895-B30F-DE9E4EBDC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728382</xdr:colOff>
      <xdr:row>64</xdr:row>
      <xdr:rowOff>156883</xdr:rowOff>
    </xdr:from>
    <xdr:to>
      <xdr:col>7</xdr:col>
      <xdr:colOff>414618</xdr:colOff>
      <xdr:row>72</xdr:row>
      <xdr:rowOff>31377</xdr:rowOff>
    </xdr:to>
    <xdr:graphicFrame macro="">
      <xdr:nvGraphicFramePr>
        <xdr:cNvPr id="13" name="Gráfico 12">
          <a:extLst>
            <a:ext uri="{FF2B5EF4-FFF2-40B4-BE49-F238E27FC236}">
              <a16:creationId xmlns:a16="http://schemas.microsoft.com/office/drawing/2014/main" id="{9B2DE9D7-94ED-47AE-B011-9F6A1B7DE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448235</xdr:colOff>
      <xdr:row>64</xdr:row>
      <xdr:rowOff>123265</xdr:rowOff>
    </xdr:from>
    <xdr:to>
      <xdr:col>15</xdr:col>
      <xdr:colOff>448235</xdr:colOff>
      <xdr:row>71</xdr:row>
      <xdr:rowOff>356347</xdr:rowOff>
    </xdr:to>
    <xdr:graphicFrame macro="">
      <xdr:nvGraphicFramePr>
        <xdr:cNvPr id="14" name="Gráfico 13">
          <a:extLst>
            <a:ext uri="{FF2B5EF4-FFF2-40B4-BE49-F238E27FC236}">
              <a16:creationId xmlns:a16="http://schemas.microsoft.com/office/drawing/2014/main" id="{796C8459-ADFF-46B0-927F-322A1AB083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MIGUEL ANDRES GUTIERREZ TOQUICA" id="{E1E850FD-C989-4436-8DDA-C0A1FCFE8006}" userId="e981e6e4c55b41dd" providerId="Windows Liv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5" dT="2023-07-07T11:32:36.88" personId="{E1E850FD-C989-4436-8DDA-C0A1FCFE8006}" id="{BE613AE9-A77A-4FC7-B42E-898489D1FE78}">
    <text xml:space="preserve">Recuerda revisar las tasas Ofrecidas por Entidades Vigiladas </text>
  </threadedComment>
</ThreadedComments>
</file>

<file path=xl/threadedComments/threadedComment2.xml><?xml version="1.0" encoding="utf-8"?>
<ThreadedComments xmlns="http://schemas.microsoft.com/office/spreadsheetml/2018/threadedcomments" xmlns:x="http://schemas.openxmlformats.org/spreadsheetml/2006/main">
  <threadedComment ref="B30" dT="2023-07-07T12:14:34.74" personId="{E1E850FD-C989-4436-8DDA-C0A1FCFE8006}" id="{2041FC03-56CF-43D0-9398-1B1949B78A99}">
    <text xml:space="preserve">Este valor corresponde al interes de colocar la Inversion inicial en un banco por ejemplo en un cdt en ves de realizar la Inversion en el negocio
</text>
  </threadedComment>
</ThreadedComments>
</file>

<file path=xl/threadedComments/threadedComment3.xml><?xml version="1.0" encoding="utf-8"?>
<ThreadedComments xmlns="http://schemas.microsoft.com/office/spreadsheetml/2018/threadedcomments" xmlns:x="http://schemas.openxmlformats.org/spreadsheetml/2006/main">
  <threadedComment ref="C77" dT="2023-07-14T13:03:09.38" personId="{E1E850FD-C989-4436-8DDA-C0A1FCFE8006}" id="{EE7BB3CF-095F-4F8A-A43D-24F85F3D948B}">
    <text xml:space="preserve">Coloca los aspectos mas representativos de la Inversión y las estrategias para que se pueda hacer de una manera eficiente ( ejemplo escalonada en años ) 
</text>
  </threadedComment>
  <threadedComment ref="C80" dT="2023-07-14T13:03:40.58" personId="{E1E850FD-C989-4436-8DDA-C0A1FCFE8006}" id="{21AC7BF9-4F12-489C-B5EC-4A01052AEA96}">
    <text xml:space="preserve">Habla sobre la viabilidad del análisis de las cosechas </text>
  </threadedComment>
  <threadedComment ref="C83" dT="2023-07-14T13:05:03.14" personId="{E1E850FD-C989-4436-8DDA-C0A1FCFE8006}" id="{C9E0C45B-BDC8-4FDC-9785-33AFD74C2169}">
    <text xml:space="preserve">Comenta sobre la importancia de mantener ventas sostenidas
</text>
  </threadedComment>
  <threadedComment ref="C86" dT="2023-07-14T13:05:33.15" personId="{E1E850FD-C989-4436-8DDA-C0A1FCFE8006}" id="{5BBBCC93-1A4D-407E-B813-707AA02148DD}">
    <text xml:space="preserve">Revisa que no tengas Gastos exagerados ni insostenibles  </text>
  </threadedComment>
  <threadedComment ref="C89" dT="2023-07-14T13:07:40.45" personId="{E1E850FD-C989-4436-8DDA-C0A1FCFE8006}" id="{F6376B57-9F90-4FB9-9CC6-5317722C9A45}">
    <text xml:space="preserve">Revise los indicadores de la hoja de Flujo de caja, y toda la informacion contenida , la cual debe ser coherente con sus comentarios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A8C7C-B632-1341-903B-BB14E084D38C}">
  <sheetPr>
    <tabColor rgb="FFFF66FF"/>
  </sheetPr>
  <dimension ref="A1:R22"/>
  <sheetViews>
    <sheetView tabSelected="1" workbookViewId="0">
      <selection activeCell="M2" sqref="M2"/>
    </sheetView>
  </sheetViews>
  <sheetFormatPr baseColWidth="10" defaultColWidth="10.77734375" defaultRowHeight="14.4"/>
  <cols>
    <col min="1" max="6" width="10.77734375" style="211"/>
    <col min="7" max="7" width="5.44140625" style="211" customWidth="1"/>
    <col min="8" max="8" width="10.77734375" style="211"/>
    <col min="9" max="9" width="15.77734375" style="211" customWidth="1"/>
    <col min="10" max="16384" width="10.77734375" style="211"/>
  </cols>
  <sheetData>
    <row r="1" spans="1:18" ht="18.600000000000001" thickBot="1">
      <c r="A1" s="417" t="s">
        <v>324</v>
      </c>
      <c r="B1" s="418"/>
      <c r="C1" s="418"/>
      <c r="D1" s="418"/>
      <c r="E1" s="419"/>
    </row>
    <row r="2" spans="1:18" ht="29.4" thickBot="1">
      <c r="A2" s="414" t="s">
        <v>329</v>
      </c>
      <c r="B2" s="415" t="s">
        <v>325</v>
      </c>
      <c r="C2" s="415" t="s">
        <v>327</v>
      </c>
      <c r="D2" s="415" t="s">
        <v>326</v>
      </c>
      <c r="E2" s="416" t="s">
        <v>328</v>
      </c>
      <c r="G2" s="420" t="s">
        <v>333</v>
      </c>
      <c r="H2" s="421"/>
      <c r="I2" s="422"/>
    </row>
    <row r="3" spans="1:18">
      <c r="A3" s="413">
        <v>1</v>
      </c>
      <c r="B3" s="413"/>
      <c r="C3" s="413"/>
      <c r="D3" s="413"/>
      <c r="E3" s="413"/>
      <c r="G3" s="423"/>
      <c r="H3" s="424" t="s">
        <v>332</v>
      </c>
      <c r="I3" s="425"/>
    </row>
    <row r="4" spans="1:18">
      <c r="A4" s="412">
        <v>2</v>
      </c>
      <c r="B4" s="412"/>
      <c r="C4" s="412"/>
      <c r="D4" s="412"/>
      <c r="E4" s="412"/>
      <c r="G4" s="426"/>
      <c r="H4" s="412" t="s">
        <v>330</v>
      </c>
      <c r="I4" s="427"/>
    </row>
    <row r="5" spans="1:18" ht="15" thickBot="1">
      <c r="A5" s="412">
        <v>3</v>
      </c>
      <c r="B5" s="412"/>
      <c r="C5" s="412"/>
      <c r="D5" s="412"/>
      <c r="E5" s="412"/>
      <c r="G5" s="428"/>
      <c r="H5" s="429" t="s">
        <v>331</v>
      </c>
      <c r="I5" s="430"/>
    </row>
    <row r="6" spans="1:18">
      <c r="A6" s="412">
        <v>4</v>
      </c>
      <c r="B6" s="412"/>
      <c r="C6" s="412"/>
      <c r="D6" s="412"/>
      <c r="E6" s="412"/>
    </row>
    <row r="7" spans="1:18" ht="46.2">
      <c r="B7" s="286" t="s">
        <v>298</v>
      </c>
      <c r="C7" s="286"/>
      <c r="D7" s="286"/>
      <c r="E7" s="286"/>
      <c r="F7" s="286"/>
      <c r="G7" s="286"/>
      <c r="H7" s="286"/>
      <c r="I7" s="286"/>
      <c r="J7" s="286"/>
      <c r="K7" s="286"/>
      <c r="L7" s="286"/>
      <c r="M7" s="286"/>
      <c r="N7" s="286"/>
      <c r="O7" s="286"/>
      <c r="P7" s="286"/>
      <c r="Q7" s="286"/>
      <c r="R7" s="286"/>
    </row>
    <row r="10" spans="1:18" ht="24" thickBot="1">
      <c r="B10" s="279" t="s">
        <v>277</v>
      </c>
      <c r="C10" s="279"/>
      <c r="D10" s="279"/>
      <c r="E10" s="279"/>
      <c r="F10" s="279"/>
      <c r="G10" s="279"/>
      <c r="H10" s="279"/>
      <c r="I10" s="279"/>
      <c r="K10" s="290" t="s">
        <v>278</v>
      </c>
      <c r="L10" s="279"/>
      <c r="M10" s="279"/>
      <c r="N10" s="279"/>
      <c r="O10" s="279"/>
      <c r="P10" s="279"/>
      <c r="Q10" s="279"/>
      <c r="R10" s="279"/>
    </row>
    <row r="11" spans="1:18" ht="87" customHeight="1" thickBot="1">
      <c r="B11" s="280" t="s">
        <v>296</v>
      </c>
      <c r="C11" s="281"/>
      <c r="D11" s="281"/>
      <c r="E11" s="281"/>
      <c r="F11" s="281"/>
      <c r="G11" s="281"/>
      <c r="H11" s="281"/>
      <c r="I11" s="282"/>
      <c r="K11" s="280" t="s">
        <v>297</v>
      </c>
      <c r="L11" s="281"/>
      <c r="M11" s="281"/>
      <c r="N11" s="281"/>
      <c r="O11" s="281"/>
      <c r="P11" s="281"/>
      <c r="Q11" s="281"/>
      <c r="R11" s="282"/>
    </row>
    <row r="12" spans="1:18" ht="154.94999999999999" customHeight="1" thickBot="1">
      <c r="B12" s="283"/>
      <c r="C12" s="284"/>
      <c r="D12" s="284"/>
      <c r="E12" s="284"/>
      <c r="F12" s="284"/>
      <c r="G12" s="284"/>
      <c r="H12" s="284"/>
      <c r="I12" s="285"/>
      <c r="K12" s="283"/>
      <c r="L12" s="284"/>
      <c r="M12" s="284"/>
      <c r="N12" s="284"/>
      <c r="O12" s="284"/>
      <c r="P12" s="284"/>
      <c r="Q12" s="284"/>
      <c r="R12" s="285"/>
    </row>
    <row r="15" spans="1:18" ht="24" thickBot="1">
      <c r="B15" s="279" t="s">
        <v>279</v>
      </c>
      <c r="C15" s="279"/>
      <c r="D15" s="279"/>
      <c r="E15" s="279"/>
      <c r="F15" s="279"/>
      <c r="G15" s="279"/>
      <c r="H15" s="279"/>
      <c r="I15" s="279"/>
      <c r="K15" s="279" t="s">
        <v>280</v>
      </c>
      <c r="L15" s="279"/>
      <c r="M15" s="279"/>
      <c r="N15" s="279"/>
      <c r="O15" s="279"/>
      <c r="P15" s="279"/>
      <c r="Q15" s="279"/>
      <c r="R15" s="279"/>
    </row>
    <row r="16" spans="1:18" ht="60" customHeight="1" thickBot="1">
      <c r="B16" s="280" t="s">
        <v>275</v>
      </c>
      <c r="C16" s="281"/>
      <c r="D16" s="281"/>
      <c r="E16" s="281"/>
      <c r="F16" s="281"/>
      <c r="G16" s="281"/>
      <c r="H16" s="281"/>
      <c r="I16" s="282"/>
      <c r="K16" s="280" t="s">
        <v>276</v>
      </c>
      <c r="L16" s="281"/>
      <c r="M16" s="281"/>
      <c r="N16" s="281"/>
      <c r="O16" s="281"/>
      <c r="P16" s="281"/>
      <c r="Q16" s="281"/>
      <c r="R16" s="282"/>
    </row>
    <row r="17" spans="2:18" ht="157.05000000000001" customHeight="1" thickBot="1">
      <c r="B17" s="283"/>
      <c r="C17" s="284"/>
      <c r="D17" s="284"/>
      <c r="E17" s="284"/>
      <c r="F17" s="284"/>
      <c r="G17" s="284"/>
      <c r="H17" s="284"/>
      <c r="I17" s="285"/>
      <c r="K17" s="283"/>
      <c r="L17" s="284"/>
      <c r="M17" s="284"/>
      <c r="N17" s="284"/>
      <c r="O17" s="284"/>
      <c r="P17" s="284"/>
      <c r="Q17" s="284"/>
      <c r="R17" s="285"/>
    </row>
    <row r="20" spans="2:18" ht="24" thickBot="1">
      <c r="B20" s="279" t="s">
        <v>282</v>
      </c>
      <c r="C20" s="279"/>
      <c r="D20" s="279"/>
      <c r="E20" s="279"/>
      <c r="F20" s="279"/>
      <c r="G20" s="279"/>
      <c r="H20" s="279"/>
      <c r="I20" s="279"/>
      <c r="K20" s="279" t="s">
        <v>307</v>
      </c>
      <c r="L20" s="279"/>
      <c r="M20" s="279"/>
      <c r="N20" s="279"/>
      <c r="O20" s="279"/>
      <c r="P20" s="279"/>
      <c r="Q20" s="279"/>
      <c r="R20" s="279"/>
    </row>
    <row r="21" spans="2:18" ht="64.05" customHeight="1" thickBot="1">
      <c r="B21" s="280" t="s">
        <v>281</v>
      </c>
      <c r="C21" s="281"/>
      <c r="D21" s="281"/>
      <c r="E21" s="281"/>
      <c r="F21" s="281"/>
      <c r="G21" s="281"/>
      <c r="H21" s="281"/>
      <c r="I21" s="282"/>
      <c r="K21" s="287" t="s">
        <v>308</v>
      </c>
      <c r="L21" s="288"/>
      <c r="M21" s="288"/>
      <c r="N21" s="288"/>
      <c r="O21" s="288"/>
      <c r="P21" s="288"/>
      <c r="Q21" s="288"/>
      <c r="R21" s="289"/>
    </row>
    <row r="22" spans="2:18" ht="162" customHeight="1" thickBot="1">
      <c r="B22" s="283"/>
      <c r="C22" s="284"/>
      <c r="D22" s="284"/>
      <c r="E22" s="284"/>
      <c r="F22" s="284"/>
      <c r="G22" s="284"/>
      <c r="H22" s="284"/>
      <c r="I22" s="285"/>
      <c r="K22" s="283"/>
      <c r="L22" s="284"/>
      <c r="M22" s="284"/>
      <c r="N22" s="284"/>
      <c r="O22" s="284"/>
      <c r="P22" s="284"/>
      <c r="Q22" s="284"/>
      <c r="R22" s="285"/>
    </row>
  </sheetData>
  <mergeCells count="21">
    <mergeCell ref="B15:I15"/>
    <mergeCell ref="B16:I16"/>
    <mergeCell ref="B17:I17"/>
    <mergeCell ref="A1:E1"/>
    <mergeCell ref="G2:I2"/>
    <mergeCell ref="B20:I20"/>
    <mergeCell ref="B21:I21"/>
    <mergeCell ref="B22:I22"/>
    <mergeCell ref="B7:R7"/>
    <mergeCell ref="K20:R20"/>
    <mergeCell ref="K21:R21"/>
    <mergeCell ref="K22:R22"/>
    <mergeCell ref="K10:R10"/>
    <mergeCell ref="K11:R11"/>
    <mergeCell ref="K12:R12"/>
    <mergeCell ref="K15:R15"/>
    <mergeCell ref="K16:R16"/>
    <mergeCell ref="K17:R17"/>
    <mergeCell ref="B10:I10"/>
    <mergeCell ref="B11:I11"/>
    <mergeCell ref="B12:I1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A5A3B-0C6D-6F49-980A-990DD0A19944}">
  <sheetPr>
    <tabColor rgb="FFFF66FF"/>
  </sheetPr>
  <dimension ref="B1:R20"/>
  <sheetViews>
    <sheetView topLeftCell="A13" workbookViewId="0">
      <selection activeCell="B18" sqref="B18:I18"/>
    </sheetView>
  </sheetViews>
  <sheetFormatPr baseColWidth="10" defaultColWidth="10.77734375" defaultRowHeight="14.4"/>
  <cols>
    <col min="1" max="1" width="4.33203125" style="211" customWidth="1"/>
    <col min="2" max="2" width="37" style="211" customWidth="1"/>
    <col min="3" max="9" width="10.77734375" style="211"/>
    <col min="10" max="10" width="4.6640625" style="211" customWidth="1"/>
    <col min="11" max="14" width="10.77734375" style="211"/>
    <col min="15" max="15" width="14.33203125" style="211" customWidth="1"/>
    <col min="16" max="17" width="10.77734375" style="211"/>
    <col min="18" max="18" width="19.33203125" style="211" customWidth="1"/>
    <col min="19" max="16384" width="10.77734375" style="211"/>
  </cols>
  <sheetData>
    <row r="1" spans="2:18" ht="73.95" customHeight="1">
      <c r="B1" s="286" t="s">
        <v>274</v>
      </c>
      <c r="C1" s="286"/>
      <c r="D1" s="286"/>
      <c r="E1" s="286"/>
      <c r="F1" s="286"/>
      <c r="G1" s="286"/>
      <c r="H1" s="286"/>
      <c r="I1" s="286"/>
      <c r="J1" s="286"/>
      <c r="K1" s="286"/>
      <c r="L1" s="286"/>
      <c r="M1" s="286"/>
      <c r="N1" s="286"/>
      <c r="O1" s="286"/>
      <c r="P1" s="286"/>
      <c r="Q1" s="286"/>
      <c r="R1" s="286"/>
    </row>
    <row r="3" spans="2:18" ht="24" thickBot="1">
      <c r="B3" s="279" t="s">
        <v>283</v>
      </c>
      <c r="C3" s="279"/>
      <c r="D3" s="279"/>
      <c r="E3" s="279"/>
      <c r="F3" s="279"/>
      <c r="G3" s="279"/>
      <c r="H3" s="279"/>
      <c r="I3" s="279"/>
      <c r="K3" s="279" t="s">
        <v>287</v>
      </c>
      <c r="L3" s="279"/>
      <c r="M3" s="279"/>
      <c r="N3" s="279"/>
      <c r="O3" s="279"/>
      <c r="P3" s="279"/>
      <c r="Q3" s="279"/>
      <c r="R3" s="279"/>
    </row>
    <row r="4" spans="2:18" ht="135" customHeight="1" thickBot="1">
      <c r="B4" s="280" t="s">
        <v>284</v>
      </c>
      <c r="C4" s="281"/>
      <c r="D4" s="281"/>
      <c r="E4" s="281"/>
      <c r="F4" s="281"/>
      <c r="G4" s="281"/>
      <c r="H4" s="281"/>
      <c r="I4" s="282"/>
      <c r="K4" s="280" t="s">
        <v>288</v>
      </c>
      <c r="L4" s="281"/>
      <c r="M4" s="281"/>
      <c r="N4" s="281"/>
      <c r="O4" s="281"/>
      <c r="P4" s="281"/>
      <c r="Q4" s="281"/>
      <c r="R4" s="282"/>
    </row>
    <row r="5" spans="2:18" ht="199.95" customHeight="1" thickBot="1">
      <c r="B5" s="283"/>
      <c r="C5" s="284"/>
      <c r="D5" s="284"/>
      <c r="E5" s="284"/>
      <c r="F5" s="284"/>
      <c r="G5" s="284"/>
      <c r="H5" s="284"/>
      <c r="I5" s="285"/>
      <c r="K5" s="283"/>
      <c r="L5" s="284"/>
      <c r="M5" s="284"/>
      <c r="N5" s="284"/>
      <c r="O5" s="284"/>
      <c r="P5" s="284"/>
      <c r="Q5" s="284"/>
      <c r="R5" s="285"/>
    </row>
    <row r="8" spans="2:18" ht="24" thickBot="1">
      <c r="B8" s="279" t="s">
        <v>285</v>
      </c>
      <c r="C8" s="279"/>
      <c r="D8" s="279"/>
      <c r="E8" s="279"/>
      <c r="F8" s="279"/>
      <c r="G8" s="279"/>
      <c r="H8" s="279"/>
      <c r="I8" s="279"/>
      <c r="K8" s="279" t="s">
        <v>289</v>
      </c>
      <c r="L8" s="279"/>
      <c r="M8" s="279"/>
      <c r="N8" s="279"/>
      <c r="O8" s="279"/>
      <c r="P8" s="279"/>
      <c r="Q8" s="279"/>
      <c r="R8" s="279"/>
    </row>
    <row r="9" spans="2:18" ht="114" customHeight="1" thickBot="1">
      <c r="B9" s="280" t="s">
        <v>286</v>
      </c>
      <c r="C9" s="281"/>
      <c r="D9" s="281"/>
      <c r="E9" s="281"/>
      <c r="F9" s="281"/>
      <c r="G9" s="281"/>
      <c r="H9" s="281"/>
      <c r="I9" s="282"/>
      <c r="K9" s="280" t="s">
        <v>290</v>
      </c>
      <c r="L9" s="281"/>
      <c r="M9" s="281"/>
      <c r="N9" s="281"/>
      <c r="O9" s="281"/>
      <c r="P9" s="281"/>
      <c r="Q9" s="281"/>
      <c r="R9" s="282"/>
    </row>
    <row r="10" spans="2:18" ht="118.95" customHeight="1" thickBot="1">
      <c r="B10" s="283"/>
      <c r="C10" s="284"/>
      <c r="D10" s="284"/>
      <c r="E10" s="284"/>
      <c r="F10" s="284"/>
      <c r="G10" s="284"/>
      <c r="H10" s="284"/>
      <c r="I10" s="285"/>
      <c r="K10" s="283"/>
      <c r="L10" s="284"/>
      <c r="M10" s="284"/>
      <c r="N10" s="284"/>
      <c r="O10" s="284"/>
      <c r="P10" s="284"/>
      <c r="Q10" s="284"/>
      <c r="R10" s="285"/>
    </row>
    <row r="13" spans="2:18" ht="34.049999999999997" customHeight="1" thickBot="1">
      <c r="B13" s="279" t="s">
        <v>291</v>
      </c>
      <c r="C13" s="279"/>
      <c r="D13" s="279"/>
      <c r="E13" s="279"/>
      <c r="F13" s="279"/>
      <c r="G13" s="279"/>
      <c r="H13" s="279"/>
      <c r="I13" s="279"/>
      <c r="K13" s="279" t="s">
        <v>292</v>
      </c>
      <c r="L13" s="279"/>
      <c r="M13" s="279"/>
      <c r="N13" s="279"/>
      <c r="O13" s="279"/>
      <c r="P13" s="279"/>
      <c r="Q13" s="279"/>
      <c r="R13" s="279"/>
    </row>
    <row r="14" spans="2:18" ht="58.05" customHeight="1" thickBot="1">
      <c r="B14" s="280" t="s">
        <v>293</v>
      </c>
      <c r="C14" s="281"/>
      <c r="D14" s="281"/>
      <c r="E14" s="281"/>
      <c r="F14" s="281"/>
      <c r="G14" s="281"/>
      <c r="H14" s="281"/>
      <c r="I14" s="282"/>
    </row>
    <row r="15" spans="2:18" ht="268.05" customHeight="1" thickBot="1">
      <c r="B15" s="283"/>
      <c r="C15" s="284"/>
      <c r="D15" s="284"/>
      <c r="E15" s="284"/>
      <c r="F15" s="284"/>
      <c r="G15" s="284"/>
      <c r="H15" s="284"/>
      <c r="I15" s="285"/>
    </row>
    <row r="18" spans="2:9" ht="24" thickBot="1">
      <c r="B18" s="279" t="s">
        <v>307</v>
      </c>
      <c r="C18" s="279"/>
      <c r="D18" s="279"/>
      <c r="E18" s="279"/>
      <c r="F18" s="279"/>
      <c r="G18" s="279"/>
      <c r="H18" s="279"/>
      <c r="I18" s="279"/>
    </row>
    <row r="19" spans="2:9" ht="49.05" customHeight="1" thickBot="1">
      <c r="B19" s="287" t="s">
        <v>306</v>
      </c>
      <c r="C19" s="288"/>
      <c r="D19" s="288"/>
      <c r="E19" s="288"/>
      <c r="F19" s="288"/>
      <c r="G19" s="288"/>
      <c r="H19" s="288"/>
      <c r="I19" s="289"/>
    </row>
    <row r="20" spans="2:9" ht="187.05" customHeight="1" thickBot="1">
      <c r="B20" s="283"/>
      <c r="C20" s="284"/>
      <c r="D20" s="284"/>
      <c r="E20" s="284"/>
      <c r="F20" s="284"/>
      <c r="G20" s="284"/>
      <c r="H20" s="284"/>
      <c r="I20" s="285"/>
    </row>
  </sheetData>
  <mergeCells count="20">
    <mergeCell ref="B8:I8"/>
    <mergeCell ref="K8:R8"/>
    <mergeCell ref="K4:R4"/>
    <mergeCell ref="K5:R5"/>
    <mergeCell ref="B9:I9"/>
    <mergeCell ref="B3:I3"/>
    <mergeCell ref="B4:I4"/>
    <mergeCell ref="B5:I5"/>
    <mergeCell ref="K3:R3"/>
    <mergeCell ref="B1:R1"/>
    <mergeCell ref="B18:I18"/>
    <mergeCell ref="B19:I19"/>
    <mergeCell ref="B20:I20"/>
    <mergeCell ref="K9:R9"/>
    <mergeCell ref="K10:R10"/>
    <mergeCell ref="B13:I13"/>
    <mergeCell ref="B14:I14"/>
    <mergeCell ref="B15:I15"/>
    <mergeCell ref="K13:R13"/>
    <mergeCell ref="B10:I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CDB6A-23F7-9742-B628-14C72C97414C}">
  <sheetPr>
    <tabColor rgb="FFFF66FF"/>
  </sheetPr>
  <dimension ref="A1:O16"/>
  <sheetViews>
    <sheetView workbookViewId="0">
      <selection activeCell="B14" sqref="B14:I16"/>
    </sheetView>
  </sheetViews>
  <sheetFormatPr baseColWidth="10" defaultColWidth="10.77734375" defaultRowHeight="14.4"/>
  <cols>
    <col min="1" max="4" width="10.77734375" style="211"/>
    <col min="5" max="5" width="27.109375" style="211" customWidth="1"/>
    <col min="6" max="13" width="10.77734375" style="211"/>
    <col min="14" max="14" width="17.33203125" style="211" customWidth="1"/>
    <col min="15" max="15" width="42.77734375" style="211" customWidth="1"/>
    <col min="16" max="16384" width="10.77734375" style="211"/>
  </cols>
  <sheetData>
    <row r="1" spans="1:15" ht="46.2">
      <c r="A1" s="286" t="s">
        <v>294</v>
      </c>
      <c r="B1" s="286"/>
      <c r="C1" s="286"/>
      <c r="D1" s="286"/>
      <c r="E1" s="286"/>
      <c r="F1" s="286"/>
      <c r="G1" s="286"/>
      <c r="H1" s="286"/>
      <c r="I1" s="286"/>
      <c r="J1" s="286"/>
      <c r="K1" s="286"/>
      <c r="L1" s="286"/>
    </row>
    <row r="4" spans="1:15" ht="24" thickBot="1">
      <c r="B4" s="279" t="s">
        <v>295</v>
      </c>
      <c r="C4" s="279"/>
      <c r="D4" s="279"/>
      <c r="E4" s="279"/>
      <c r="K4" s="279" t="s">
        <v>300</v>
      </c>
      <c r="L4" s="279"/>
      <c r="M4" s="279"/>
      <c r="N4" s="279"/>
      <c r="O4" s="279"/>
    </row>
    <row r="5" spans="1:15" ht="70.05" customHeight="1" thickBot="1">
      <c r="B5" s="280" t="s">
        <v>299</v>
      </c>
      <c r="C5" s="281"/>
      <c r="D5" s="281"/>
      <c r="E5" s="281"/>
      <c r="F5" s="281"/>
      <c r="G5" s="281"/>
      <c r="H5" s="281"/>
      <c r="I5" s="282"/>
      <c r="K5" s="280" t="s">
        <v>301</v>
      </c>
      <c r="L5" s="281"/>
      <c r="M5" s="281"/>
      <c r="N5" s="281"/>
      <c r="O5" s="282"/>
    </row>
    <row r="6" spans="1:15" ht="141" customHeight="1" thickBot="1">
      <c r="B6" s="283"/>
      <c r="C6" s="284"/>
      <c r="D6" s="284"/>
      <c r="E6" s="284"/>
      <c r="F6" s="284"/>
      <c r="G6" s="284"/>
      <c r="H6" s="284"/>
      <c r="I6" s="285"/>
      <c r="K6" s="283"/>
      <c r="L6" s="284"/>
      <c r="M6" s="284"/>
      <c r="N6" s="284"/>
      <c r="O6" s="285"/>
    </row>
    <row r="9" spans="1:15" ht="24" thickBot="1">
      <c r="B9" s="279" t="s">
        <v>304</v>
      </c>
      <c r="C9" s="279"/>
      <c r="D9" s="279"/>
      <c r="E9" s="279"/>
      <c r="K9" s="279" t="s">
        <v>302</v>
      </c>
      <c r="L9" s="279"/>
      <c r="M9" s="279"/>
      <c r="N9" s="279"/>
      <c r="O9" s="279"/>
    </row>
    <row r="10" spans="1:15" ht="85.05" customHeight="1" thickBot="1">
      <c r="B10" s="280" t="s">
        <v>305</v>
      </c>
      <c r="C10" s="281"/>
      <c r="D10" s="281"/>
      <c r="E10" s="281"/>
      <c r="F10" s="281"/>
      <c r="G10" s="281"/>
      <c r="H10" s="281"/>
      <c r="I10" s="282"/>
      <c r="K10" s="280" t="s">
        <v>303</v>
      </c>
      <c r="L10" s="281"/>
      <c r="M10" s="281"/>
      <c r="N10" s="281"/>
      <c r="O10" s="282"/>
    </row>
    <row r="11" spans="1:15" ht="208.05" customHeight="1" thickBot="1">
      <c r="B11" s="283"/>
      <c r="C11" s="284"/>
      <c r="D11" s="284"/>
      <c r="E11" s="284"/>
      <c r="F11" s="284"/>
      <c r="G11" s="284"/>
      <c r="H11" s="284"/>
      <c r="I11" s="285"/>
      <c r="K11" s="283"/>
      <c r="L11" s="284"/>
      <c r="M11" s="284"/>
      <c r="N11" s="284"/>
      <c r="O11" s="285"/>
    </row>
    <row r="14" spans="1:15" ht="24" thickBot="1">
      <c r="B14" s="279" t="s">
        <v>307</v>
      </c>
      <c r="C14" s="279"/>
      <c r="D14" s="279"/>
      <c r="E14" s="279"/>
      <c r="F14" s="279"/>
      <c r="G14" s="279"/>
      <c r="H14" s="279"/>
      <c r="I14" s="279"/>
      <c r="K14" s="279" t="s">
        <v>307</v>
      </c>
      <c r="L14" s="279"/>
      <c r="M14" s="279"/>
      <c r="N14" s="279"/>
      <c r="O14" s="279"/>
    </row>
    <row r="15" spans="1:15" ht="57" customHeight="1" thickBot="1">
      <c r="B15" s="291" t="s">
        <v>309</v>
      </c>
      <c r="C15" s="292"/>
      <c r="D15" s="292"/>
      <c r="E15" s="292"/>
      <c r="F15" s="292"/>
      <c r="G15" s="292"/>
      <c r="H15" s="292"/>
      <c r="I15" s="293"/>
      <c r="K15" s="294" t="s">
        <v>310</v>
      </c>
      <c r="L15" s="295"/>
      <c r="M15" s="295"/>
      <c r="N15" s="295"/>
      <c r="O15" s="296"/>
    </row>
    <row r="16" spans="1:15" ht="184.95" customHeight="1" thickBot="1">
      <c r="B16" s="283"/>
      <c r="C16" s="284"/>
      <c r="D16" s="284"/>
      <c r="E16" s="284"/>
      <c r="F16" s="284"/>
      <c r="G16" s="284"/>
      <c r="H16" s="284"/>
      <c r="I16" s="285"/>
      <c r="K16" s="283"/>
      <c r="L16" s="284"/>
      <c r="M16" s="284"/>
      <c r="N16" s="284"/>
      <c r="O16" s="285"/>
    </row>
  </sheetData>
  <mergeCells count="19">
    <mergeCell ref="A1:L1"/>
    <mergeCell ref="B4:E4"/>
    <mergeCell ref="B6:I6"/>
    <mergeCell ref="B5:I5"/>
    <mergeCell ref="K4:O4"/>
    <mergeCell ref="K5:O5"/>
    <mergeCell ref="K6:O6"/>
    <mergeCell ref="K10:O10"/>
    <mergeCell ref="K11:O11"/>
    <mergeCell ref="K9:O9"/>
    <mergeCell ref="B15:I15"/>
    <mergeCell ref="B16:I16"/>
    <mergeCell ref="B14:I14"/>
    <mergeCell ref="K14:O14"/>
    <mergeCell ref="K15:O15"/>
    <mergeCell ref="K16:O16"/>
    <mergeCell ref="B9:E9"/>
    <mergeCell ref="B10:I10"/>
    <mergeCell ref="B11:I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tabColor rgb="FF92D050"/>
  </sheetPr>
  <dimension ref="B2:N58"/>
  <sheetViews>
    <sheetView topLeftCell="A46" zoomScaleNormal="100" workbookViewId="0">
      <selection activeCell="C56" sqref="C56:J58"/>
    </sheetView>
  </sheetViews>
  <sheetFormatPr baseColWidth="10" defaultRowHeight="13.8"/>
  <cols>
    <col min="1" max="1" width="1.77734375" style="1" customWidth="1"/>
    <col min="2" max="2" width="39.77734375" style="1" customWidth="1"/>
    <col min="3" max="3" width="16.44140625" style="1" bestFit="1" customWidth="1"/>
    <col min="4" max="6" width="14.44140625" style="1" customWidth="1"/>
    <col min="7" max="7" width="5" style="1" customWidth="1"/>
    <col min="8" max="8" width="14" style="1" bestFit="1" customWidth="1"/>
    <col min="9" max="9" width="15.44140625" style="1" customWidth="1"/>
    <col min="10" max="11" width="13.44140625" style="1" bestFit="1" customWidth="1"/>
    <col min="12" max="12" width="13" style="1" hidden="1" customWidth="1"/>
    <col min="13" max="13" width="13.109375" style="1" hidden="1" customWidth="1"/>
    <col min="14" max="15" width="11.44140625" style="1"/>
    <col min="16" max="16" width="4" style="1" customWidth="1"/>
    <col min="17" max="256" width="11.44140625" style="1"/>
    <col min="257" max="257" width="1.77734375" style="1" customWidth="1"/>
    <col min="258" max="258" width="39.77734375" style="1" customWidth="1"/>
    <col min="259" max="262" width="11.44140625" style="1"/>
    <col min="263" max="263" width="3.44140625" style="1" customWidth="1"/>
    <col min="264" max="264" width="11.44140625" style="1"/>
    <col min="265" max="265" width="11.44140625" style="1" bestFit="1" customWidth="1"/>
    <col min="266" max="267" width="12.44140625" style="1" bestFit="1" customWidth="1"/>
    <col min="268" max="512" width="11.44140625" style="1"/>
    <col min="513" max="513" width="1.77734375" style="1" customWidth="1"/>
    <col min="514" max="514" width="39.77734375" style="1" customWidth="1"/>
    <col min="515" max="518" width="11.44140625" style="1"/>
    <col min="519" max="519" width="3.44140625" style="1" customWidth="1"/>
    <col min="520" max="520" width="11.44140625" style="1"/>
    <col min="521" max="521" width="11.44140625" style="1" bestFit="1" customWidth="1"/>
    <col min="522" max="523" width="12.44140625" style="1" bestFit="1" customWidth="1"/>
    <col min="524" max="768" width="11.44140625" style="1"/>
    <col min="769" max="769" width="1.77734375" style="1" customWidth="1"/>
    <col min="770" max="770" width="39.77734375" style="1" customWidth="1"/>
    <col min="771" max="774" width="11.44140625" style="1"/>
    <col min="775" max="775" width="3.44140625" style="1" customWidth="1"/>
    <col min="776" max="776" width="11.44140625" style="1"/>
    <col min="777" max="777" width="11.44140625" style="1" bestFit="1" customWidth="1"/>
    <col min="778" max="779" width="12.44140625" style="1" bestFit="1" customWidth="1"/>
    <col min="780" max="1024" width="11.44140625" style="1"/>
    <col min="1025" max="1025" width="1.77734375" style="1" customWidth="1"/>
    <col min="1026" max="1026" width="39.77734375" style="1" customWidth="1"/>
    <col min="1027" max="1030" width="11.44140625" style="1"/>
    <col min="1031" max="1031" width="3.44140625" style="1" customWidth="1"/>
    <col min="1032" max="1032" width="11.44140625" style="1"/>
    <col min="1033" max="1033" width="11.44140625" style="1" bestFit="1" customWidth="1"/>
    <col min="1034" max="1035" width="12.44140625" style="1" bestFit="1" customWidth="1"/>
    <col min="1036" max="1280" width="11.44140625" style="1"/>
    <col min="1281" max="1281" width="1.77734375" style="1" customWidth="1"/>
    <col min="1282" max="1282" width="39.77734375" style="1" customWidth="1"/>
    <col min="1283" max="1286" width="11.44140625" style="1"/>
    <col min="1287" max="1287" width="3.44140625" style="1" customWidth="1"/>
    <col min="1288" max="1288" width="11.44140625" style="1"/>
    <col min="1289" max="1289" width="11.44140625" style="1" bestFit="1" customWidth="1"/>
    <col min="1290" max="1291" width="12.44140625" style="1" bestFit="1" customWidth="1"/>
    <col min="1292" max="1536" width="11.44140625" style="1"/>
    <col min="1537" max="1537" width="1.77734375" style="1" customWidth="1"/>
    <col min="1538" max="1538" width="39.77734375" style="1" customWidth="1"/>
    <col min="1539" max="1542" width="11.44140625" style="1"/>
    <col min="1543" max="1543" width="3.44140625" style="1" customWidth="1"/>
    <col min="1544" max="1544" width="11.44140625" style="1"/>
    <col min="1545" max="1545" width="11.44140625" style="1" bestFit="1" customWidth="1"/>
    <col min="1546" max="1547" width="12.44140625" style="1" bestFit="1" customWidth="1"/>
    <col min="1548" max="1792" width="11.44140625" style="1"/>
    <col min="1793" max="1793" width="1.77734375" style="1" customWidth="1"/>
    <col min="1794" max="1794" width="39.77734375" style="1" customWidth="1"/>
    <col min="1795" max="1798" width="11.44140625" style="1"/>
    <col min="1799" max="1799" width="3.44140625" style="1" customWidth="1"/>
    <col min="1800" max="1800" width="11.44140625" style="1"/>
    <col min="1801" max="1801" width="11.44140625" style="1" bestFit="1" customWidth="1"/>
    <col min="1802" max="1803" width="12.44140625" style="1" bestFit="1" customWidth="1"/>
    <col min="1804" max="2048" width="11.44140625" style="1"/>
    <col min="2049" max="2049" width="1.77734375" style="1" customWidth="1"/>
    <col min="2050" max="2050" width="39.77734375" style="1" customWidth="1"/>
    <col min="2051" max="2054" width="11.44140625" style="1"/>
    <col min="2055" max="2055" width="3.44140625" style="1" customWidth="1"/>
    <col min="2056" max="2056" width="11.44140625" style="1"/>
    <col min="2057" max="2057" width="11.44140625" style="1" bestFit="1" customWidth="1"/>
    <col min="2058" max="2059" width="12.44140625" style="1" bestFit="1" customWidth="1"/>
    <col min="2060" max="2304" width="11.44140625" style="1"/>
    <col min="2305" max="2305" width="1.77734375" style="1" customWidth="1"/>
    <col min="2306" max="2306" width="39.77734375" style="1" customWidth="1"/>
    <col min="2307" max="2310" width="11.44140625" style="1"/>
    <col min="2311" max="2311" width="3.44140625" style="1" customWidth="1"/>
    <col min="2312" max="2312" width="11.44140625" style="1"/>
    <col min="2313" max="2313" width="11.44140625" style="1" bestFit="1" customWidth="1"/>
    <col min="2314" max="2315" width="12.44140625" style="1" bestFit="1" customWidth="1"/>
    <col min="2316" max="2560" width="11.44140625" style="1"/>
    <col min="2561" max="2561" width="1.77734375" style="1" customWidth="1"/>
    <col min="2562" max="2562" width="39.77734375" style="1" customWidth="1"/>
    <col min="2563" max="2566" width="11.44140625" style="1"/>
    <col min="2567" max="2567" width="3.44140625" style="1" customWidth="1"/>
    <col min="2568" max="2568" width="11.44140625" style="1"/>
    <col min="2569" max="2569" width="11.44140625" style="1" bestFit="1" customWidth="1"/>
    <col min="2570" max="2571" width="12.44140625" style="1" bestFit="1" customWidth="1"/>
    <col min="2572" max="2816" width="11.44140625" style="1"/>
    <col min="2817" max="2817" width="1.77734375" style="1" customWidth="1"/>
    <col min="2818" max="2818" width="39.77734375" style="1" customWidth="1"/>
    <col min="2819" max="2822" width="11.44140625" style="1"/>
    <col min="2823" max="2823" width="3.44140625" style="1" customWidth="1"/>
    <col min="2824" max="2824" width="11.44140625" style="1"/>
    <col min="2825" max="2825" width="11.44140625" style="1" bestFit="1" customWidth="1"/>
    <col min="2826" max="2827" width="12.44140625" style="1" bestFit="1" customWidth="1"/>
    <col min="2828" max="3072" width="11.44140625" style="1"/>
    <col min="3073" max="3073" width="1.77734375" style="1" customWidth="1"/>
    <col min="3074" max="3074" width="39.77734375" style="1" customWidth="1"/>
    <col min="3075" max="3078" width="11.44140625" style="1"/>
    <col min="3079" max="3079" width="3.44140625" style="1" customWidth="1"/>
    <col min="3080" max="3080" width="11.44140625" style="1"/>
    <col min="3081" max="3081" width="11.44140625" style="1" bestFit="1" customWidth="1"/>
    <col min="3082" max="3083" width="12.44140625" style="1" bestFit="1" customWidth="1"/>
    <col min="3084" max="3328" width="11.44140625" style="1"/>
    <col min="3329" max="3329" width="1.77734375" style="1" customWidth="1"/>
    <col min="3330" max="3330" width="39.77734375" style="1" customWidth="1"/>
    <col min="3331" max="3334" width="11.44140625" style="1"/>
    <col min="3335" max="3335" width="3.44140625" style="1" customWidth="1"/>
    <col min="3336" max="3336" width="11.44140625" style="1"/>
    <col min="3337" max="3337" width="11.44140625" style="1" bestFit="1" customWidth="1"/>
    <col min="3338" max="3339" width="12.44140625" style="1" bestFit="1" customWidth="1"/>
    <col min="3340" max="3584" width="11.44140625" style="1"/>
    <col min="3585" max="3585" width="1.77734375" style="1" customWidth="1"/>
    <col min="3586" max="3586" width="39.77734375" style="1" customWidth="1"/>
    <col min="3587" max="3590" width="11.44140625" style="1"/>
    <col min="3591" max="3591" width="3.44140625" style="1" customWidth="1"/>
    <col min="3592" max="3592" width="11.44140625" style="1"/>
    <col min="3593" max="3593" width="11.44140625" style="1" bestFit="1" customWidth="1"/>
    <col min="3594" max="3595" width="12.44140625" style="1" bestFit="1" customWidth="1"/>
    <col min="3596" max="3840" width="11.44140625" style="1"/>
    <col min="3841" max="3841" width="1.77734375" style="1" customWidth="1"/>
    <col min="3842" max="3842" width="39.77734375" style="1" customWidth="1"/>
    <col min="3843" max="3846" width="11.44140625" style="1"/>
    <col min="3847" max="3847" width="3.44140625" style="1" customWidth="1"/>
    <col min="3848" max="3848" width="11.44140625" style="1"/>
    <col min="3849" max="3849" width="11.44140625" style="1" bestFit="1" customWidth="1"/>
    <col min="3850" max="3851" width="12.44140625" style="1" bestFit="1" customWidth="1"/>
    <col min="3852" max="4096" width="11.44140625" style="1"/>
    <col min="4097" max="4097" width="1.77734375" style="1" customWidth="1"/>
    <col min="4098" max="4098" width="39.77734375" style="1" customWidth="1"/>
    <col min="4099" max="4102" width="11.44140625" style="1"/>
    <col min="4103" max="4103" width="3.44140625" style="1" customWidth="1"/>
    <col min="4104" max="4104" width="11.44140625" style="1"/>
    <col min="4105" max="4105" width="11.44140625" style="1" bestFit="1" customWidth="1"/>
    <col min="4106" max="4107" width="12.44140625" style="1" bestFit="1" customWidth="1"/>
    <col min="4108" max="4352" width="11.44140625" style="1"/>
    <col min="4353" max="4353" width="1.77734375" style="1" customWidth="1"/>
    <col min="4354" max="4354" width="39.77734375" style="1" customWidth="1"/>
    <col min="4355" max="4358" width="11.44140625" style="1"/>
    <col min="4359" max="4359" width="3.44140625" style="1" customWidth="1"/>
    <col min="4360" max="4360" width="11.44140625" style="1"/>
    <col min="4361" max="4361" width="11.44140625" style="1" bestFit="1" customWidth="1"/>
    <col min="4362" max="4363" width="12.44140625" style="1" bestFit="1" customWidth="1"/>
    <col min="4364" max="4608" width="11.44140625" style="1"/>
    <col min="4609" max="4609" width="1.77734375" style="1" customWidth="1"/>
    <col min="4610" max="4610" width="39.77734375" style="1" customWidth="1"/>
    <col min="4611" max="4614" width="11.44140625" style="1"/>
    <col min="4615" max="4615" width="3.44140625" style="1" customWidth="1"/>
    <col min="4616" max="4616" width="11.44140625" style="1"/>
    <col min="4617" max="4617" width="11.44140625" style="1" bestFit="1" customWidth="1"/>
    <col min="4618" max="4619" width="12.44140625" style="1" bestFit="1" customWidth="1"/>
    <col min="4620" max="4864" width="11.44140625" style="1"/>
    <col min="4865" max="4865" width="1.77734375" style="1" customWidth="1"/>
    <col min="4866" max="4866" width="39.77734375" style="1" customWidth="1"/>
    <col min="4867" max="4870" width="11.44140625" style="1"/>
    <col min="4871" max="4871" width="3.44140625" style="1" customWidth="1"/>
    <col min="4872" max="4872" width="11.44140625" style="1"/>
    <col min="4873" max="4873" width="11.44140625" style="1" bestFit="1" customWidth="1"/>
    <col min="4874" max="4875" width="12.44140625" style="1" bestFit="1" customWidth="1"/>
    <col min="4876" max="5120" width="11.44140625" style="1"/>
    <col min="5121" max="5121" width="1.77734375" style="1" customWidth="1"/>
    <col min="5122" max="5122" width="39.77734375" style="1" customWidth="1"/>
    <col min="5123" max="5126" width="11.44140625" style="1"/>
    <col min="5127" max="5127" width="3.44140625" style="1" customWidth="1"/>
    <col min="5128" max="5128" width="11.44140625" style="1"/>
    <col min="5129" max="5129" width="11.44140625" style="1" bestFit="1" customWidth="1"/>
    <col min="5130" max="5131" width="12.44140625" style="1" bestFit="1" customWidth="1"/>
    <col min="5132" max="5376" width="11.44140625" style="1"/>
    <col min="5377" max="5377" width="1.77734375" style="1" customWidth="1"/>
    <col min="5378" max="5378" width="39.77734375" style="1" customWidth="1"/>
    <col min="5379" max="5382" width="11.44140625" style="1"/>
    <col min="5383" max="5383" width="3.44140625" style="1" customWidth="1"/>
    <col min="5384" max="5384" width="11.44140625" style="1"/>
    <col min="5385" max="5385" width="11.44140625" style="1" bestFit="1" customWidth="1"/>
    <col min="5386" max="5387" width="12.44140625" style="1" bestFit="1" customWidth="1"/>
    <col min="5388" max="5632" width="11.44140625" style="1"/>
    <col min="5633" max="5633" width="1.77734375" style="1" customWidth="1"/>
    <col min="5634" max="5634" width="39.77734375" style="1" customWidth="1"/>
    <col min="5635" max="5638" width="11.44140625" style="1"/>
    <col min="5639" max="5639" width="3.44140625" style="1" customWidth="1"/>
    <col min="5640" max="5640" width="11.44140625" style="1"/>
    <col min="5641" max="5641" width="11.44140625" style="1" bestFit="1" customWidth="1"/>
    <col min="5642" max="5643" width="12.44140625" style="1" bestFit="1" customWidth="1"/>
    <col min="5644" max="5888" width="11.44140625" style="1"/>
    <col min="5889" max="5889" width="1.77734375" style="1" customWidth="1"/>
    <col min="5890" max="5890" width="39.77734375" style="1" customWidth="1"/>
    <col min="5891" max="5894" width="11.44140625" style="1"/>
    <col min="5895" max="5895" width="3.44140625" style="1" customWidth="1"/>
    <col min="5896" max="5896" width="11.44140625" style="1"/>
    <col min="5897" max="5897" width="11.44140625" style="1" bestFit="1" customWidth="1"/>
    <col min="5898" max="5899" width="12.44140625" style="1" bestFit="1" customWidth="1"/>
    <col min="5900" max="6144" width="11.44140625" style="1"/>
    <col min="6145" max="6145" width="1.77734375" style="1" customWidth="1"/>
    <col min="6146" max="6146" width="39.77734375" style="1" customWidth="1"/>
    <col min="6147" max="6150" width="11.44140625" style="1"/>
    <col min="6151" max="6151" width="3.44140625" style="1" customWidth="1"/>
    <col min="6152" max="6152" width="11.44140625" style="1"/>
    <col min="6153" max="6153" width="11.44140625" style="1" bestFit="1" customWidth="1"/>
    <col min="6154" max="6155" width="12.44140625" style="1" bestFit="1" customWidth="1"/>
    <col min="6156" max="6400" width="11.44140625" style="1"/>
    <col min="6401" max="6401" width="1.77734375" style="1" customWidth="1"/>
    <col min="6402" max="6402" width="39.77734375" style="1" customWidth="1"/>
    <col min="6403" max="6406" width="11.44140625" style="1"/>
    <col min="6407" max="6407" width="3.44140625" style="1" customWidth="1"/>
    <col min="6408" max="6408" width="11.44140625" style="1"/>
    <col min="6409" max="6409" width="11.44140625" style="1" bestFit="1" customWidth="1"/>
    <col min="6410" max="6411" width="12.44140625" style="1" bestFit="1" customWidth="1"/>
    <col min="6412" max="6656" width="11.44140625" style="1"/>
    <col min="6657" max="6657" width="1.77734375" style="1" customWidth="1"/>
    <col min="6658" max="6658" width="39.77734375" style="1" customWidth="1"/>
    <col min="6659" max="6662" width="11.44140625" style="1"/>
    <col min="6663" max="6663" width="3.44140625" style="1" customWidth="1"/>
    <col min="6664" max="6664" width="11.44140625" style="1"/>
    <col min="6665" max="6665" width="11.44140625" style="1" bestFit="1" customWidth="1"/>
    <col min="6666" max="6667" width="12.44140625" style="1" bestFit="1" customWidth="1"/>
    <col min="6668" max="6912" width="11.44140625" style="1"/>
    <col min="6913" max="6913" width="1.77734375" style="1" customWidth="1"/>
    <col min="6914" max="6914" width="39.77734375" style="1" customWidth="1"/>
    <col min="6915" max="6918" width="11.44140625" style="1"/>
    <col min="6919" max="6919" width="3.44140625" style="1" customWidth="1"/>
    <col min="6920" max="6920" width="11.44140625" style="1"/>
    <col min="6921" max="6921" width="11.44140625" style="1" bestFit="1" customWidth="1"/>
    <col min="6922" max="6923" width="12.44140625" style="1" bestFit="1" customWidth="1"/>
    <col min="6924" max="7168" width="11.44140625" style="1"/>
    <col min="7169" max="7169" width="1.77734375" style="1" customWidth="1"/>
    <col min="7170" max="7170" width="39.77734375" style="1" customWidth="1"/>
    <col min="7171" max="7174" width="11.44140625" style="1"/>
    <col min="7175" max="7175" width="3.44140625" style="1" customWidth="1"/>
    <col min="7176" max="7176" width="11.44140625" style="1"/>
    <col min="7177" max="7177" width="11.44140625" style="1" bestFit="1" customWidth="1"/>
    <col min="7178" max="7179" width="12.44140625" style="1" bestFit="1" customWidth="1"/>
    <col min="7180" max="7424" width="11.44140625" style="1"/>
    <col min="7425" max="7425" width="1.77734375" style="1" customWidth="1"/>
    <col min="7426" max="7426" width="39.77734375" style="1" customWidth="1"/>
    <col min="7427" max="7430" width="11.44140625" style="1"/>
    <col min="7431" max="7431" width="3.44140625" style="1" customWidth="1"/>
    <col min="7432" max="7432" width="11.44140625" style="1"/>
    <col min="7433" max="7433" width="11.44140625" style="1" bestFit="1" customWidth="1"/>
    <col min="7434" max="7435" width="12.44140625" style="1" bestFit="1" customWidth="1"/>
    <col min="7436" max="7680" width="11.44140625" style="1"/>
    <col min="7681" max="7681" width="1.77734375" style="1" customWidth="1"/>
    <col min="7682" max="7682" width="39.77734375" style="1" customWidth="1"/>
    <col min="7683" max="7686" width="11.44140625" style="1"/>
    <col min="7687" max="7687" width="3.44140625" style="1" customWidth="1"/>
    <col min="7688" max="7688" width="11.44140625" style="1"/>
    <col min="7689" max="7689" width="11.44140625" style="1" bestFit="1" customWidth="1"/>
    <col min="7690" max="7691" width="12.44140625" style="1" bestFit="1" customWidth="1"/>
    <col min="7692" max="7936" width="11.44140625" style="1"/>
    <col min="7937" max="7937" width="1.77734375" style="1" customWidth="1"/>
    <col min="7938" max="7938" width="39.77734375" style="1" customWidth="1"/>
    <col min="7939" max="7942" width="11.44140625" style="1"/>
    <col min="7943" max="7943" width="3.44140625" style="1" customWidth="1"/>
    <col min="7944" max="7944" width="11.44140625" style="1"/>
    <col min="7945" max="7945" width="11.44140625" style="1" bestFit="1" customWidth="1"/>
    <col min="7946" max="7947" width="12.44140625" style="1" bestFit="1" customWidth="1"/>
    <col min="7948" max="8192" width="11.44140625" style="1"/>
    <col min="8193" max="8193" width="1.77734375" style="1" customWidth="1"/>
    <col min="8194" max="8194" width="39.77734375" style="1" customWidth="1"/>
    <col min="8195" max="8198" width="11.44140625" style="1"/>
    <col min="8199" max="8199" width="3.44140625" style="1" customWidth="1"/>
    <col min="8200" max="8200" width="11.44140625" style="1"/>
    <col min="8201" max="8201" width="11.44140625" style="1" bestFit="1" customWidth="1"/>
    <col min="8202" max="8203" width="12.44140625" style="1" bestFit="1" customWidth="1"/>
    <col min="8204" max="8448" width="11.44140625" style="1"/>
    <col min="8449" max="8449" width="1.77734375" style="1" customWidth="1"/>
    <col min="8450" max="8450" width="39.77734375" style="1" customWidth="1"/>
    <col min="8451" max="8454" width="11.44140625" style="1"/>
    <col min="8455" max="8455" width="3.44140625" style="1" customWidth="1"/>
    <col min="8456" max="8456" width="11.44140625" style="1"/>
    <col min="8457" max="8457" width="11.44140625" style="1" bestFit="1" customWidth="1"/>
    <col min="8458" max="8459" width="12.44140625" style="1" bestFit="1" customWidth="1"/>
    <col min="8460" max="8704" width="11.44140625" style="1"/>
    <col min="8705" max="8705" width="1.77734375" style="1" customWidth="1"/>
    <col min="8706" max="8706" width="39.77734375" style="1" customWidth="1"/>
    <col min="8707" max="8710" width="11.44140625" style="1"/>
    <col min="8711" max="8711" width="3.44140625" style="1" customWidth="1"/>
    <col min="8712" max="8712" width="11.44140625" style="1"/>
    <col min="8713" max="8713" width="11.44140625" style="1" bestFit="1" customWidth="1"/>
    <col min="8714" max="8715" width="12.44140625" style="1" bestFit="1" customWidth="1"/>
    <col min="8716" max="8960" width="11.44140625" style="1"/>
    <col min="8961" max="8961" width="1.77734375" style="1" customWidth="1"/>
    <col min="8962" max="8962" width="39.77734375" style="1" customWidth="1"/>
    <col min="8963" max="8966" width="11.44140625" style="1"/>
    <col min="8967" max="8967" width="3.44140625" style="1" customWidth="1"/>
    <col min="8968" max="8968" width="11.44140625" style="1"/>
    <col min="8969" max="8969" width="11.44140625" style="1" bestFit="1" customWidth="1"/>
    <col min="8970" max="8971" width="12.44140625" style="1" bestFit="1" customWidth="1"/>
    <col min="8972" max="9216" width="11.44140625" style="1"/>
    <col min="9217" max="9217" width="1.77734375" style="1" customWidth="1"/>
    <col min="9218" max="9218" width="39.77734375" style="1" customWidth="1"/>
    <col min="9219" max="9222" width="11.44140625" style="1"/>
    <col min="9223" max="9223" width="3.44140625" style="1" customWidth="1"/>
    <col min="9224" max="9224" width="11.44140625" style="1"/>
    <col min="9225" max="9225" width="11.44140625" style="1" bestFit="1" customWidth="1"/>
    <col min="9226" max="9227" width="12.44140625" style="1" bestFit="1" customWidth="1"/>
    <col min="9228" max="9472" width="11.44140625" style="1"/>
    <col min="9473" max="9473" width="1.77734375" style="1" customWidth="1"/>
    <col min="9474" max="9474" width="39.77734375" style="1" customWidth="1"/>
    <col min="9475" max="9478" width="11.44140625" style="1"/>
    <col min="9479" max="9479" width="3.44140625" style="1" customWidth="1"/>
    <col min="9480" max="9480" width="11.44140625" style="1"/>
    <col min="9481" max="9481" width="11.44140625" style="1" bestFit="1" customWidth="1"/>
    <col min="9482" max="9483" width="12.44140625" style="1" bestFit="1" customWidth="1"/>
    <col min="9484" max="9728" width="11.44140625" style="1"/>
    <col min="9729" max="9729" width="1.77734375" style="1" customWidth="1"/>
    <col min="9730" max="9730" width="39.77734375" style="1" customWidth="1"/>
    <col min="9731" max="9734" width="11.44140625" style="1"/>
    <col min="9735" max="9735" width="3.44140625" style="1" customWidth="1"/>
    <col min="9736" max="9736" width="11.44140625" style="1"/>
    <col min="9737" max="9737" width="11.44140625" style="1" bestFit="1" customWidth="1"/>
    <col min="9738" max="9739" width="12.44140625" style="1" bestFit="1" customWidth="1"/>
    <col min="9740" max="9984" width="11.44140625" style="1"/>
    <col min="9985" max="9985" width="1.77734375" style="1" customWidth="1"/>
    <col min="9986" max="9986" width="39.77734375" style="1" customWidth="1"/>
    <col min="9987" max="9990" width="11.44140625" style="1"/>
    <col min="9991" max="9991" width="3.44140625" style="1" customWidth="1"/>
    <col min="9992" max="9992" width="11.44140625" style="1"/>
    <col min="9993" max="9993" width="11.44140625" style="1" bestFit="1" customWidth="1"/>
    <col min="9994" max="9995" width="12.44140625" style="1" bestFit="1" customWidth="1"/>
    <col min="9996" max="10240" width="11.44140625" style="1"/>
    <col min="10241" max="10241" width="1.77734375" style="1" customWidth="1"/>
    <col min="10242" max="10242" width="39.77734375" style="1" customWidth="1"/>
    <col min="10243" max="10246" width="11.44140625" style="1"/>
    <col min="10247" max="10247" width="3.44140625" style="1" customWidth="1"/>
    <col min="10248" max="10248" width="11.44140625" style="1"/>
    <col min="10249" max="10249" width="11.44140625" style="1" bestFit="1" customWidth="1"/>
    <col min="10250" max="10251" width="12.44140625" style="1" bestFit="1" customWidth="1"/>
    <col min="10252" max="10496" width="11.44140625" style="1"/>
    <col min="10497" max="10497" width="1.77734375" style="1" customWidth="1"/>
    <col min="10498" max="10498" width="39.77734375" style="1" customWidth="1"/>
    <col min="10499" max="10502" width="11.44140625" style="1"/>
    <col min="10503" max="10503" width="3.44140625" style="1" customWidth="1"/>
    <col min="10504" max="10504" width="11.44140625" style="1"/>
    <col min="10505" max="10505" width="11.44140625" style="1" bestFit="1" customWidth="1"/>
    <col min="10506" max="10507" width="12.44140625" style="1" bestFit="1" customWidth="1"/>
    <col min="10508" max="10752" width="11.44140625" style="1"/>
    <col min="10753" max="10753" width="1.77734375" style="1" customWidth="1"/>
    <col min="10754" max="10754" width="39.77734375" style="1" customWidth="1"/>
    <col min="10755" max="10758" width="11.44140625" style="1"/>
    <col min="10759" max="10759" width="3.44140625" style="1" customWidth="1"/>
    <col min="10760" max="10760" width="11.44140625" style="1"/>
    <col min="10761" max="10761" width="11.44140625" style="1" bestFit="1" customWidth="1"/>
    <col min="10762" max="10763" width="12.44140625" style="1" bestFit="1" customWidth="1"/>
    <col min="10764" max="11008" width="11.44140625" style="1"/>
    <col min="11009" max="11009" width="1.77734375" style="1" customWidth="1"/>
    <col min="11010" max="11010" width="39.77734375" style="1" customWidth="1"/>
    <col min="11011" max="11014" width="11.44140625" style="1"/>
    <col min="11015" max="11015" width="3.44140625" style="1" customWidth="1"/>
    <col min="11016" max="11016" width="11.44140625" style="1"/>
    <col min="11017" max="11017" width="11.44140625" style="1" bestFit="1" customWidth="1"/>
    <col min="11018" max="11019" width="12.44140625" style="1" bestFit="1" customWidth="1"/>
    <col min="11020" max="11264" width="11.44140625" style="1"/>
    <col min="11265" max="11265" width="1.77734375" style="1" customWidth="1"/>
    <col min="11266" max="11266" width="39.77734375" style="1" customWidth="1"/>
    <col min="11267" max="11270" width="11.44140625" style="1"/>
    <col min="11271" max="11271" width="3.44140625" style="1" customWidth="1"/>
    <col min="11272" max="11272" width="11.44140625" style="1"/>
    <col min="11273" max="11273" width="11.44140625" style="1" bestFit="1" customWidth="1"/>
    <col min="11274" max="11275" width="12.44140625" style="1" bestFit="1" customWidth="1"/>
    <col min="11276" max="11520" width="11.44140625" style="1"/>
    <col min="11521" max="11521" width="1.77734375" style="1" customWidth="1"/>
    <col min="11522" max="11522" width="39.77734375" style="1" customWidth="1"/>
    <col min="11523" max="11526" width="11.44140625" style="1"/>
    <col min="11527" max="11527" width="3.44140625" style="1" customWidth="1"/>
    <col min="11528" max="11528" width="11.44140625" style="1"/>
    <col min="11529" max="11529" width="11.44140625" style="1" bestFit="1" customWidth="1"/>
    <col min="11530" max="11531" width="12.44140625" style="1" bestFit="1" customWidth="1"/>
    <col min="11532" max="11776" width="11.44140625" style="1"/>
    <col min="11777" max="11777" width="1.77734375" style="1" customWidth="1"/>
    <col min="11778" max="11778" width="39.77734375" style="1" customWidth="1"/>
    <col min="11779" max="11782" width="11.44140625" style="1"/>
    <col min="11783" max="11783" width="3.44140625" style="1" customWidth="1"/>
    <col min="11784" max="11784" width="11.44140625" style="1"/>
    <col min="11785" max="11785" width="11.44140625" style="1" bestFit="1" customWidth="1"/>
    <col min="11786" max="11787" width="12.44140625" style="1" bestFit="1" customWidth="1"/>
    <col min="11788" max="12032" width="11.44140625" style="1"/>
    <col min="12033" max="12033" width="1.77734375" style="1" customWidth="1"/>
    <col min="12034" max="12034" width="39.77734375" style="1" customWidth="1"/>
    <col min="12035" max="12038" width="11.44140625" style="1"/>
    <col min="12039" max="12039" width="3.44140625" style="1" customWidth="1"/>
    <col min="12040" max="12040" width="11.44140625" style="1"/>
    <col min="12041" max="12041" width="11.44140625" style="1" bestFit="1" customWidth="1"/>
    <col min="12042" max="12043" width="12.44140625" style="1" bestFit="1" customWidth="1"/>
    <col min="12044" max="12288" width="11.44140625" style="1"/>
    <col min="12289" max="12289" width="1.77734375" style="1" customWidth="1"/>
    <col min="12290" max="12290" width="39.77734375" style="1" customWidth="1"/>
    <col min="12291" max="12294" width="11.44140625" style="1"/>
    <col min="12295" max="12295" width="3.44140625" style="1" customWidth="1"/>
    <col min="12296" max="12296" width="11.44140625" style="1"/>
    <col min="12297" max="12297" width="11.44140625" style="1" bestFit="1" customWidth="1"/>
    <col min="12298" max="12299" width="12.44140625" style="1" bestFit="1" customWidth="1"/>
    <col min="12300" max="12544" width="11.44140625" style="1"/>
    <col min="12545" max="12545" width="1.77734375" style="1" customWidth="1"/>
    <col min="12546" max="12546" width="39.77734375" style="1" customWidth="1"/>
    <col min="12547" max="12550" width="11.44140625" style="1"/>
    <col min="12551" max="12551" width="3.44140625" style="1" customWidth="1"/>
    <col min="12552" max="12552" width="11.44140625" style="1"/>
    <col min="12553" max="12553" width="11.44140625" style="1" bestFit="1" customWidth="1"/>
    <col min="12554" max="12555" width="12.44140625" style="1" bestFit="1" customWidth="1"/>
    <col min="12556" max="12800" width="11.44140625" style="1"/>
    <col min="12801" max="12801" width="1.77734375" style="1" customWidth="1"/>
    <col min="12802" max="12802" width="39.77734375" style="1" customWidth="1"/>
    <col min="12803" max="12806" width="11.44140625" style="1"/>
    <col min="12807" max="12807" width="3.44140625" style="1" customWidth="1"/>
    <col min="12808" max="12808" width="11.44140625" style="1"/>
    <col min="12809" max="12809" width="11.44140625" style="1" bestFit="1" customWidth="1"/>
    <col min="12810" max="12811" width="12.44140625" style="1" bestFit="1" customWidth="1"/>
    <col min="12812" max="13056" width="11.44140625" style="1"/>
    <col min="13057" max="13057" width="1.77734375" style="1" customWidth="1"/>
    <col min="13058" max="13058" width="39.77734375" style="1" customWidth="1"/>
    <col min="13059" max="13062" width="11.44140625" style="1"/>
    <col min="13063" max="13063" width="3.44140625" style="1" customWidth="1"/>
    <col min="13064" max="13064" width="11.44140625" style="1"/>
    <col min="13065" max="13065" width="11.44140625" style="1" bestFit="1" customWidth="1"/>
    <col min="13066" max="13067" width="12.44140625" style="1" bestFit="1" customWidth="1"/>
    <col min="13068" max="13312" width="11.44140625" style="1"/>
    <col min="13313" max="13313" width="1.77734375" style="1" customWidth="1"/>
    <col min="13314" max="13314" width="39.77734375" style="1" customWidth="1"/>
    <col min="13315" max="13318" width="11.44140625" style="1"/>
    <col min="13319" max="13319" width="3.44140625" style="1" customWidth="1"/>
    <col min="13320" max="13320" width="11.44140625" style="1"/>
    <col min="13321" max="13321" width="11.44140625" style="1" bestFit="1" customWidth="1"/>
    <col min="13322" max="13323" width="12.44140625" style="1" bestFit="1" customWidth="1"/>
    <col min="13324" max="13568" width="11.44140625" style="1"/>
    <col min="13569" max="13569" width="1.77734375" style="1" customWidth="1"/>
    <col min="13570" max="13570" width="39.77734375" style="1" customWidth="1"/>
    <col min="13571" max="13574" width="11.44140625" style="1"/>
    <col min="13575" max="13575" width="3.44140625" style="1" customWidth="1"/>
    <col min="13576" max="13576" width="11.44140625" style="1"/>
    <col min="13577" max="13577" width="11.44140625" style="1" bestFit="1" customWidth="1"/>
    <col min="13578" max="13579" width="12.44140625" style="1" bestFit="1" customWidth="1"/>
    <col min="13580" max="13824" width="11.44140625" style="1"/>
    <col min="13825" max="13825" width="1.77734375" style="1" customWidth="1"/>
    <col min="13826" max="13826" width="39.77734375" style="1" customWidth="1"/>
    <col min="13827" max="13830" width="11.44140625" style="1"/>
    <col min="13831" max="13831" width="3.44140625" style="1" customWidth="1"/>
    <col min="13832" max="13832" width="11.44140625" style="1"/>
    <col min="13833" max="13833" width="11.44140625" style="1" bestFit="1" customWidth="1"/>
    <col min="13834" max="13835" width="12.44140625" style="1" bestFit="1" customWidth="1"/>
    <col min="13836" max="14080" width="11.44140625" style="1"/>
    <col min="14081" max="14081" width="1.77734375" style="1" customWidth="1"/>
    <col min="14082" max="14082" width="39.77734375" style="1" customWidth="1"/>
    <col min="14083" max="14086" width="11.44140625" style="1"/>
    <col min="14087" max="14087" width="3.44140625" style="1" customWidth="1"/>
    <col min="14088" max="14088" width="11.44140625" style="1"/>
    <col min="14089" max="14089" width="11.44140625" style="1" bestFit="1" customWidth="1"/>
    <col min="14090" max="14091" width="12.44140625" style="1" bestFit="1" customWidth="1"/>
    <col min="14092" max="14336" width="11.44140625" style="1"/>
    <col min="14337" max="14337" width="1.77734375" style="1" customWidth="1"/>
    <col min="14338" max="14338" width="39.77734375" style="1" customWidth="1"/>
    <col min="14339" max="14342" width="11.44140625" style="1"/>
    <col min="14343" max="14343" width="3.44140625" style="1" customWidth="1"/>
    <col min="14344" max="14344" width="11.44140625" style="1"/>
    <col min="14345" max="14345" width="11.44140625" style="1" bestFit="1" customWidth="1"/>
    <col min="14346" max="14347" width="12.44140625" style="1" bestFit="1" customWidth="1"/>
    <col min="14348" max="14592" width="11.44140625" style="1"/>
    <col min="14593" max="14593" width="1.77734375" style="1" customWidth="1"/>
    <col min="14594" max="14594" width="39.77734375" style="1" customWidth="1"/>
    <col min="14595" max="14598" width="11.44140625" style="1"/>
    <col min="14599" max="14599" width="3.44140625" style="1" customWidth="1"/>
    <col min="14600" max="14600" width="11.44140625" style="1"/>
    <col min="14601" max="14601" width="11.44140625" style="1" bestFit="1" customWidth="1"/>
    <col min="14602" max="14603" width="12.44140625" style="1" bestFit="1" customWidth="1"/>
    <col min="14604" max="14848" width="11.44140625" style="1"/>
    <col min="14849" max="14849" width="1.77734375" style="1" customWidth="1"/>
    <col min="14850" max="14850" width="39.77734375" style="1" customWidth="1"/>
    <col min="14851" max="14854" width="11.44140625" style="1"/>
    <col min="14855" max="14855" width="3.44140625" style="1" customWidth="1"/>
    <col min="14856" max="14856" width="11.44140625" style="1"/>
    <col min="14857" max="14857" width="11.44140625" style="1" bestFit="1" customWidth="1"/>
    <col min="14858" max="14859" width="12.44140625" style="1" bestFit="1" customWidth="1"/>
    <col min="14860" max="15104" width="11.44140625" style="1"/>
    <col min="15105" max="15105" width="1.77734375" style="1" customWidth="1"/>
    <col min="15106" max="15106" width="39.77734375" style="1" customWidth="1"/>
    <col min="15107" max="15110" width="11.44140625" style="1"/>
    <col min="15111" max="15111" width="3.44140625" style="1" customWidth="1"/>
    <col min="15112" max="15112" width="11.44140625" style="1"/>
    <col min="15113" max="15113" width="11.44140625" style="1" bestFit="1" customWidth="1"/>
    <col min="15114" max="15115" width="12.44140625" style="1" bestFit="1" customWidth="1"/>
    <col min="15116" max="15360" width="11.44140625" style="1"/>
    <col min="15361" max="15361" width="1.77734375" style="1" customWidth="1"/>
    <col min="15362" max="15362" width="39.77734375" style="1" customWidth="1"/>
    <col min="15363" max="15366" width="11.44140625" style="1"/>
    <col min="15367" max="15367" width="3.44140625" style="1" customWidth="1"/>
    <col min="15368" max="15368" width="11.44140625" style="1"/>
    <col min="15369" max="15369" width="11.44140625" style="1" bestFit="1" customWidth="1"/>
    <col min="15370" max="15371" width="12.44140625" style="1" bestFit="1" customWidth="1"/>
    <col min="15372" max="15616" width="11.44140625" style="1"/>
    <col min="15617" max="15617" width="1.77734375" style="1" customWidth="1"/>
    <col min="15618" max="15618" width="39.77734375" style="1" customWidth="1"/>
    <col min="15619" max="15622" width="11.44140625" style="1"/>
    <col min="15623" max="15623" width="3.44140625" style="1" customWidth="1"/>
    <col min="15624" max="15624" width="11.44140625" style="1"/>
    <col min="15625" max="15625" width="11.44140625" style="1" bestFit="1" customWidth="1"/>
    <col min="15626" max="15627" width="12.44140625" style="1" bestFit="1" customWidth="1"/>
    <col min="15628" max="15872" width="11.44140625" style="1"/>
    <col min="15873" max="15873" width="1.77734375" style="1" customWidth="1"/>
    <col min="15874" max="15874" width="39.77734375" style="1" customWidth="1"/>
    <col min="15875" max="15878" width="11.44140625" style="1"/>
    <col min="15879" max="15879" width="3.44140625" style="1" customWidth="1"/>
    <col min="15880" max="15880" width="11.44140625" style="1"/>
    <col min="15881" max="15881" width="11.44140625" style="1" bestFit="1" customWidth="1"/>
    <col min="15882" max="15883" width="12.44140625" style="1" bestFit="1" customWidth="1"/>
    <col min="15884" max="16128" width="11.44140625" style="1"/>
    <col min="16129" max="16129" width="1.77734375" style="1" customWidth="1"/>
    <col min="16130" max="16130" width="39.77734375" style="1" customWidth="1"/>
    <col min="16131" max="16134" width="11.44140625" style="1"/>
    <col min="16135" max="16135" width="3.44140625" style="1" customWidth="1"/>
    <col min="16136" max="16136" width="11.44140625" style="1"/>
    <col min="16137" max="16137" width="11.44140625" style="1" bestFit="1" customWidth="1"/>
    <col min="16138" max="16139" width="12.44140625" style="1" bestFit="1" customWidth="1"/>
    <col min="16140" max="16384" width="11.44140625" style="1"/>
  </cols>
  <sheetData>
    <row r="2" spans="2:14" ht="18">
      <c r="D2" s="300" t="s">
        <v>144</v>
      </c>
      <c r="E2" s="300"/>
      <c r="F2" s="300"/>
      <c r="G2" s="300"/>
      <c r="H2" s="300"/>
    </row>
    <row r="3" spans="2:14" ht="14.4" thickBot="1"/>
    <row r="4" spans="2:14" ht="16.8" thickTop="1" thickBot="1">
      <c r="B4" s="131" t="s">
        <v>160</v>
      </c>
      <c r="C4" s="98" t="s">
        <v>1</v>
      </c>
      <c r="D4" s="98" t="s">
        <v>2</v>
      </c>
      <c r="E4" s="98" t="s">
        <v>3</v>
      </c>
      <c r="F4" s="98" t="s">
        <v>4</v>
      </c>
      <c r="L4" s="16" t="s">
        <v>127</v>
      </c>
      <c r="M4" s="10" t="s">
        <v>127</v>
      </c>
      <c r="N4" s="11"/>
    </row>
    <row r="5" spans="2:14" ht="15" thickTop="1" thickBot="1">
      <c r="B5" s="160" t="s">
        <v>133</v>
      </c>
      <c r="C5" s="158">
        <f>SUM(C6:C10)</f>
        <v>20500000</v>
      </c>
      <c r="D5" s="158">
        <f t="shared" ref="D5:F5" si="0">SUM(D6:D10)</f>
        <v>29800000</v>
      </c>
      <c r="E5" s="158">
        <f t="shared" si="0"/>
        <v>31500000</v>
      </c>
      <c r="F5" s="158">
        <f t="shared" si="0"/>
        <v>38000000</v>
      </c>
      <c r="L5" s="16" t="s">
        <v>115</v>
      </c>
      <c r="M5" s="10" t="s">
        <v>116</v>
      </c>
      <c r="N5" s="11"/>
    </row>
    <row r="6" spans="2:14" ht="15" thickTop="1" thickBot="1">
      <c r="B6" s="163" t="s">
        <v>7</v>
      </c>
      <c r="C6" s="181">
        <v>1500000</v>
      </c>
      <c r="D6" s="181">
        <v>1000000</v>
      </c>
      <c r="E6" s="181">
        <v>800000</v>
      </c>
      <c r="F6" s="181">
        <v>700000</v>
      </c>
      <c r="L6" s="20">
        <f t="shared" ref="L6:L13" si="1">+K19+G6*I19</f>
        <v>2500000</v>
      </c>
      <c r="M6" s="21">
        <f t="shared" ref="M6:M13" si="2">+L6+H19*J19</f>
        <v>2700000</v>
      </c>
      <c r="N6" s="12"/>
    </row>
    <row r="7" spans="2:14" ht="15" thickTop="1" thickBot="1">
      <c r="B7" s="164" t="s">
        <v>128</v>
      </c>
      <c r="C7" s="181">
        <v>3000000</v>
      </c>
      <c r="D7" s="181">
        <v>800000</v>
      </c>
      <c r="E7" s="181">
        <v>700000</v>
      </c>
      <c r="F7" s="181">
        <v>300000</v>
      </c>
      <c r="L7" s="20">
        <f t="shared" si="1"/>
        <v>2000000</v>
      </c>
      <c r="M7" s="21">
        <f t="shared" si="2"/>
        <v>2000000</v>
      </c>
      <c r="N7" s="12"/>
    </row>
    <row r="8" spans="2:14" ht="15" thickTop="1" thickBot="1">
      <c r="B8" s="165" t="s">
        <v>241</v>
      </c>
      <c r="C8" s="181">
        <v>5000000</v>
      </c>
      <c r="D8" s="181">
        <v>8000000</v>
      </c>
      <c r="E8" s="181">
        <v>10000000</v>
      </c>
      <c r="F8" s="181">
        <v>12000000</v>
      </c>
      <c r="L8" s="20">
        <f t="shared" si="1"/>
        <v>7500000</v>
      </c>
      <c r="M8" s="21">
        <f t="shared" si="2"/>
        <v>7500000</v>
      </c>
      <c r="N8" s="12"/>
    </row>
    <row r="9" spans="2:14" ht="15" thickTop="1" thickBot="1">
      <c r="B9" s="165" t="s">
        <v>242</v>
      </c>
      <c r="C9" s="181">
        <v>8000000</v>
      </c>
      <c r="D9" s="181">
        <v>15000000</v>
      </c>
      <c r="E9" s="181">
        <v>20000000</v>
      </c>
      <c r="F9" s="181">
        <v>25000000</v>
      </c>
      <c r="L9" s="20">
        <f t="shared" si="1"/>
        <v>0</v>
      </c>
      <c r="M9" s="21">
        <f t="shared" si="2"/>
        <v>0</v>
      </c>
      <c r="N9" s="12"/>
    </row>
    <row r="10" spans="2:14" ht="15" thickTop="1" thickBot="1">
      <c r="B10" s="165" t="s">
        <v>243</v>
      </c>
      <c r="C10" s="183">
        <v>3000000</v>
      </c>
      <c r="D10" s="183">
        <v>5000000</v>
      </c>
      <c r="E10" s="183"/>
      <c r="F10" s="183"/>
      <c r="L10" s="20">
        <f t="shared" si="1"/>
        <v>0</v>
      </c>
      <c r="M10" s="21">
        <f t="shared" si="2"/>
        <v>0</v>
      </c>
      <c r="N10" s="12"/>
    </row>
    <row r="11" spans="2:14" ht="15" thickTop="1" thickBot="1">
      <c r="B11" s="161" t="s">
        <v>134</v>
      </c>
      <c r="C11" s="162">
        <f>SUM(C12:C16)</f>
        <v>4000000</v>
      </c>
      <c r="D11" s="162">
        <f t="shared" ref="D11:F11" si="3">SUM(D12:D16)</f>
        <v>8000000</v>
      </c>
      <c r="E11" s="162">
        <f t="shared" si="3"/>
        <v>12000000</v>
      </c>
      <c r="F11" s="162">
        <f t="shared" si="3"/>
        <v>17000000</v>
      </c>
      <c r="L11" s="20">
        <f t="shared" si="1"/>
        <v>0</v>
      </c>
      <c r="M11" s="21">
        <f t="shared" si="2"/>
        <v>0</v>
      </c>
      <c r="N11" s="12"/>
    </row>
    <row r="12" spans="2:14" ht="15" thickTop="1" thickBot="1">
      <c r="B12" s="165" t="s">
        <v>240</v>
      </c>
      <c r="C12" s="159">
        <v>1500000</v>
      </c>
      <c r="D12" s="159">
        <v>3000000</v>
      </c>
      <c r="E12" s="159">
        <v>5000000</v>
      </c>
      <c r="F12" s="159">
        <v>7000000</v>
      </c>
      <c r="L12" s="20">
        <f t="shared" si="1"/>
        <v>0</v>
      </c>
      <c r="M12" s="21">
        <f t="shared" si="2"/>
        <v>0</v>
      </c>
      <c r="N12" s="12"/>
    </row>
    <row r="13" spans="2:14" ht="15" thickTop="1" thickBot="1">
      <c r="B13" s="165" t="s">
        <v>245</v>
      </c>
      <c r="C13" s="159">
        <v>2500000</v>
      </c>
      <c r="D13" s="159">
        <v>5000000</v>
      </c>
      <c r="E13" s="159">
        <v>7000000</v>
      </c>
      <c r="F13" s="159">
        <v>10000000</v>
      </c>
      <c r="L13" s="20">
        <f t="shared" si="1"/>
        <v>0</v>
      </c>
      <c r="M13" s="21">
        <f t="shared" si="2"/>
        <v>0</v>
      </c>
      <c r="N13" s="12"/>
    </row>
    <row r="14" spans="2:14" ht="15" thickTop="1" thickBot="1">
      <c r="B14" s="165"/>
      <c r="C14" s="159"/>
      <c r="D14" s="159"/>
      <c r="E14" s="159"/>
      <c r="F14" s="159"/>
      <c r="L14" s="23">
        <f>SUM(L6:L13)</f>
        <v>12000000</v>
      </c>
      <c r="M14" s="24">
        <f>SUM(M6:M13)</f>
        <v>12200000</v>
      </c>
      <c r="N14" s="25"/>
    </row>
    <row r="15" spans="2:14" ht="14.4" thickTop="1">
      <c r="B15" s="165"/>
      <c r="C15" s="159"/>
      <c r="D15" s="159"/>
      <c r="E15" s="159"/>
      <c r="F15" s="159"/>
      <c r="H15" s="99"/>
      <c r="I15" s="25"/>
      <c r="J15" s="25"/>
      <c r="K15" s="25"/>
      <c r="L15" s="25"/>
      <c r="M15" s="25"/>
      <c r="N15" s="25"/>
    </row>
    <row r="16" spans="2:14">
      <c r="B16" s="165"/>
      <c r="C16" s="167"/>
      <c r="D16" s="167"/>
      <c r="E16" s="167"/>
      <c r="F16" s="167"/>
      <c r="H16" s="99"/>
      <c r="I16" s="25"/>
      <c r="J16" s="25"/>
      <c r="K16" s="25"/>
      <c r="L16" s="25"/>
      <c r="M16" s="25"/>
      <c r="N16" s="25"/>
    </row>
    <row r="17" spans="2:14">
      <c r="C17" s="193"/>
      <c r="D17" s="194"/>
      <c r="E17" s="194"/>
      <c r="F17" s="195"/>
      <c r="H17" s="297" t="s">
        <v>169</v>
      </c>
      <c r="I17" s="298"/>
      <c r="J17" s="298"/>
      <c r="K17" s="299"/>
      <c r="L17" s="25"/>
      <c r="M17" s="25"/>
      <c r="N17" s="25"/>
    </row>
    <row r="18" spans="2:14">
      <c r="B18" s="196" t="s">
        <v>145</v>
      </c>
      <c r="C18" s="168">
        <f>SUM(C19:C26)</f>
        <v>10000000</v>
      </c>
      <c r="D18" s="168">
        <f>SUM(D19:D26)</f>
        <v>48000000</v>
      </c>
      <c r="E18" s="168">
        <f>SUM(E19:E26)</f>
        <v>80000000</v>
      </c>
      <c r="F18" s="168">
        <f>SUM(F19:F26)</f>
        <v>120000000</v>
      </c>
      <c r="H18" s="98" t="s">
        <v>170</v>
      </c>
      <c r="I18" s="98" t="s">
        <v>92</v>
      </c>
      <c r="J18" s="98" t="s">
        <v>3</v>
      </c>
      <c r="K18" s="98" t="s">
        <v>4</v>
      </c>
      <c r="L18" s="25"/>
      <c r="M18" s="25"/>
      <c r="N18" s="25"/>
    </row>
    <row r="19" spans="2:14">
      <c r="B19" s="165" t="s">
        <v>244</v>
      </c>
      <c r="C19" s="159">
        <v>10000000</v>
      </c>
      <c r="D19" s="159">
        <v>15000000</v>
      </c>
      <c r="E19" s="159">
        <v>20000000</v>
      </c>
      <c r="F19" s="159">
        <v>25000000</v>
      </c>
      <c r="H19" s="18">
        <v>0.1</v>
      </c>
      <c r="I19" s="19">
        <v>0</v>
      </c>
      <c r="J19" s="19">
        <f t="shared" ref="J19:K26" si="4">E19*$H$19</f>
        <v>2000000</v>
      </c>
      <c r="K19" s="19">
        <f t="shared" si="4"/>
        <v>2500000</v>
      </c>
      <c r="L19" s="25"/>
      <c r="M19" s="25"/>
      <c r="N19" s="25"/>
    </row>
    <row r="20" spans="2:14">
      <c r="B20" s="165" t="s">
        <v>257</v>
      </c>
      <c r="C20" s="159"/>
      <c r="D20" s="159">
        <v>8000000</v>
      </c>
      <c r="E20" s="159">
        <v>10000000</v>
      </c>
      <c r="F20" s="159">
        <v>20000000</v>
      </c>
      <c r="H20" s="18">
        <v>0</v>
      </c>
      <c r="I20" s="19">
        <f t="shared" ref="I20:I26" si="5">D20*$H$19</f>
        <v>800000</v>
      </c>
      <c r="J20" s="19">
        <f t="shared" si="4"/>
        <v>1000000</v>
      </c>
      <c r="K20" s="19">
        <f t="shared" si="4"/>
        <v>2000000</v>
      </c>
      <c r="L20" s="25"/>
      <c r="M20" s="25"/>
      <c r="N20" s="25"/>
    </row>
    <row r="21" spans="2:14">
      <c r="B21" s="165" t="s">
        <v>258</v>
      </c>
      <c r="C21" s="159"/>
      <c r="D21" s="159">
        <v>25000000</v>
      </c>
      <c r="E21" s="159">
        <v>50000000</v>
      </c>
      <c r="F21" s="159">
        <v>75000000</v>
      </c>
      <c r="H21" s="18">
        <v>0</v>
      </c>
      <c r="I21" s="19">
        <f>D21*$H$19</f>
        <v>2500000</v>
      </c>
      <c r="J21" s="19">
        <f t="shared" si="4"/>
        <v>5000000</v>
      </c>
      <c r="K21" s="19">
        <f t="shared" si="4"/>
        <v>7500000</v>
      </c>
      <c r="L21" s="25"/>
      <c r="M21" s="25"/>
      <c r="N21" s="25"/>
    </row>
    <row r="22" spans="2:14">
      <c r="B22" s="166"/>
      <c r="C22" s="159"/>
      <c r="D22" s="159"/>
      <c r="E22" s="159"/>
      <c r="F22" s="159"/>
      <c r="H22" s="18">
        <v>0</v>
      </c>
      <c r="I22" s="19">
        <f t="shared" si="5"/>
        <v>0</v>
      </c>
      <c r="J22" s="19">
        <f t="shared" si="4"/>
        <v>0</v>
      </c>
      <c r="K22" s="19">
        <f t="shared" si="4"/>
        <v>0</v>
      </c>
      <c r="L22" s="25"/>
      <c r="M22" s="25"/>
      <c r="N22" s="25"/>
    </row>
    <row r="23" spans="2:14">
      <c r="B23" s="166"/>
      <c r="C23" s="159"/>
      <c r="D23" s="159"/>
      <c r="E23" s="159"/>
      <c r="F23" s="159"/>
      <c r="H23" s="18">
        <v>0</v>
      </c>
      <c r="I23" s="19">
        <f t="shared" si="5"/>
        <v>0</v>
      </c>
      <c r="J23" s="19">
        <f t="shared" si="4"/>
        <v>0</v>
      </c>
      <c r="K23" s="19">
        <f t="shared" si="4"/>
        <v>0</v>
      </c>
      <c r="L23" s="25"/>
      <c r="M23" s="25"/>
      <c r="N23" s="25"/>
    </row>
    <row r="24" spans="2:14">
      <c r="B24" s="166"/>
      <c r="C24" s="159"/>
      <c r="D24" s="159"/>
      <c r="E24" s="159"/>
      <c r="F24" s="159"/>
      <c r="H24" s="22">
        <v>0</v>
      </c>
      <c r="I24" s="19">
        <f t="shared" si="5"/>
        <v>0</v>
      </c>
      <c r="J24" s="19">
        <f t="shared" si="4"/>
        <v>0</v>
      </c>
      <c r="K24" s="19">
        <f t="shared" si="4"/>
        <v>0</v>
      </c>
      <c r="L24" s="25"/>
      <c r="M24" s="25"/>
      <c r="N24" s="25"/>
    </row>
    <row r="25" spans="2:14">
      <c r="B25" s="166"/>
      <c r="C25" s="159"/>
      <c r="D25" s="159"/>
      <c r="E25" s="159"/>
      <c r="F25" s="159"/>
      <c r="H25" s="18">
        <v>0</v>
      </c>
      <c r="I25" s="19">
        <f t="shared" si="5"/>
        <v>0</v>
      </c>
      <c r="J25" s="19">
        <f t="shared" si="4"/>
        <v>0</v>
      </c>
      <c r="K25" s="19">
        <f t="shared" si="4"/>
        <v>0</v>
      </c>
    </row>
    <row r="26" spans="2:14">
      <c r="B26" s="166"/>
      <c r="C26" s="159"/>
      <c r="D26" s="159"/>
      <c r="E26" s="159"/>
      <c r="F26" s="159"/>
      <c r="H26" s="18">
        <v>0</v>
      </c>
      <c r="I26" s="19">
        <f t="shared" si="5"/>
        <v>0</v>
      </c>
      <c r="J26" s="19">
        <f t="shared" si="4"/>
        <v>0</v>
      </c>
      <c r="K26" s="19">
        <f t="shared" si="4"/>
        <v>0</v>
      </c>
    </row>
    <row r="27" spans="2:14" ht="15" customHeight="1">
      <c r="B27" s="160" t="s">
        <v>161</v>
      </c>
      <c r="C27" s="158">
        <f>SUM(C28:C30)</f>
        <v>0</v>
      </c>
      <c r="D27" s="158">
        <f t="shared" ref="D27:F27" si="6">SUM(D28:D30)</f>
        <v>0</v>
      </c>
      <c r="E27" s="158">
        <f t="shared" si="6"/>
        <v>0</v>
      </c>
      <c r="F27" s="158">
        <f t="shared" si="6"/>
        <v>0</v>
      </c>
      <c r="G27" s="26"/>
      <c r="H27" s="143" t="s">
        <v>6</v>
      </c>
      <c r="I27" s="133">
        <f>SUM(I19:I26)</f>
        <v>3300000</v>
      </c>
      <c r="J27" s="133">
        <f>SUM(J19:J26)</f>
        <v>8000000</v>
      </c>
      <c r="K27" s="133">
        <f>SUM(K19:K26)</f>
        <v>12000000</v>
      </c>
    </row>
    <row r="28" spans="2:14" ht="15" customHeight="1">
      <c r="B28" s="165" t="s">
        <v>246</v>
      </c>
      <c r="C28" s="181"/>
      <c r="D28" s="181"/>
      <c r="E28" s="181"/>
      <c r="F28" s="181"/>
    </row>
    <row r="29" spans="2:14" ht="15" customHeight="1">
      <c r="B29" s="165" t="s">
        <v>247</v>
      </c>
      <c r="C29" s="181"/>
      <c r="D29" s="181"/>
      <c r="E29" s="181"/>
      <c r="F29" s="181"/>
    </row>
    <row r="30" spans="2:14">
      <c r="B30" s="165" t="s">
        <v>248</v>
      </c>
      <c r="C30" s="182"/>
      <c r="D30" s="182"/>
      <c r="E30" s="182"/>
      <c r="F30" s="182"/>
    </row>
    <row r="31" spans="2:14">
      <c r="B31" s="9"/>
      <c r="C31" s="13"/>
      <c r="D31" s="13"/>
      <c r="E31" s="13"/>
      <c r="F31" s="13"/>
    </row>
    <row r="32" spans="2:14" ht="13.95" customHeight="1">
      <c r="C32" s="142" t="s">
        <v>1</v>
      </c>
      <c r="D32" s="98" t="s">
        <v>2</v>
      </c>
      <c r="E32" s="98" t="s">
        <v>3</v>
      </c>
      <c r="F32" s="98" t="s">
        <v>4</v>
      </c>
    </row>
    <row r="33" spans="2:6" ht="13.95" customHeight="1">
      <c r="B33" s="197" t="s">
        <v>8</v>
      </c>
      <c r="C33" s="184">
        <f>C5+C11+C18+C27</f>
        <v>34500000</v>
      </c>
      <c r="D33" s="184">
        <f>D5+D11+D18+D27</f>
        <v>85800000</v>
      </c>
      <c r="E33" s="184">
        <f>E5+E11+E18+E27</f>
        <v>123500000</v>
      </c>
      <c r="F33" s="184">
        <f>F5+F11+F18+F27</f>
        <v>175000000</v>
      </c>
    </row>
    <row r="35" spans="2:6" ht="15.75" customHeight="1"/>
    <row r="38" spans="2:6" ht="15" customHeight="1"/>
    <row r="56" spans="3:10" ht="24" thickBot="1">
      <c r="C56" s="279" t="s">
        <v>307</v>
      </c>
      <c r="D56" s="279"/>
      <c r="E56" s="279"/>
      <c r="F56" s="279"/>
      <c r="G56" s="279"/>
      <c r="H56" s="279"/>
      <c r="I56" s="279"/>
      <c r="J56" s="279"/>
    </row>
    <row r="57" spans="3:10" ht="66" customHeight="1" thickBot="1">
      <c r="C57" s="291" t="s">
        <v>315</v>
      </c>
      <c r="D57" s="292"/>
      <c r="E57" s="292"/>
      <c r="F57" s="292"/>
      <c r="G57" s="292"/>
      <c r="H57" s="292"/>
      <c r="I57" s="292"/>
      <c r="J57" s="293"/>
    </row>
    <row r="58" spans="3:10" ht="160.05000000000001" customHeight="1" thickBot="1">
      <c r="C58" s="283"/>
      <c r="D58" s="284"/>
      <c r="E58" s="284"/>
      <c r="F58" s="284"/>
      <c r="G58" s="284"/>
      <c r="H58" s="284"/>
      <c r="I58" s="284"/>
      <c r="J58" s="285"/>
    </row>
  </sheetData>
  <protectedRanges>
    <protectedRange sqref="C30:F31" name="inmov3"/>
    <protectedRange sqref="C10:F16 C18:F26" name="inmov1"/>
  </protectedRanges>
  <mergeCells count="5">
    <mergeCell ref="H17:K17"/>
    <mergeCell ref="D2:H2"/>
    <mergeCell ref="C56:J56"/>
    <mergeCell ref="C57:J57"/>
    <mergeCell ref="C58:J58"/>
  </mergeCells>
  <pageMargins left="0.7" right="0.7" top="0.75" bottom="0.75" header="0.3" footer="0.3"/>
  <pageSetup paperSize="9" orientation="portrait" horizontalDpi="300" verticalDpi="300" r:id="rId1"/>
  <ignoredErrors>
    <ignoredError sqref="C33:F33 I20 J20:K27 J19:K19 C11:F11 C18:F18 I22:I27" unlocked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tabColor rgb="FF92D050"/>
  </sheetPr>
  <dimension ref="A2:N69"/>
  <sheetViews>
    <sheetView zoomScale="115" zoomScaleNormal="115" workbookViewId="0">
      <selection activeCell="H20" sqref="H20"/>
    </sheetView>
  </sheetViews>
  <sheetFormatPr baseColWidth="10" defaultRowHeight="13.8"/>
  <cols>
    <col min="1" max="1" width="4.44140625" style="1" bestFit="1" customWidth="1"/>
    <col min="2" max="2" width="32.77734375" style="1" customWidth="1"/>
    <col min="3" max="3" width="18" style="1" customWidth="1"/>
    <col min="4" max="4" width="16.44140625" style="1" bestFit="1" customWidth="1"/>
    <col min="5" max="5" width="15.44140625" style="1" bestFit="1" customWidth="1"/>
    <col min="6" max="6" width="18" style="1" bestFit="1" customWidth="1"/>
    <col min="7" max="7" width="17.44140625" style="1" customWidth="1"/>
    <col min="8" max="8" width="4.44140625" style="1" bestFit="1" customWidth="1"/>
    <col min="9" max="9" width="28" style="1" customWidth="1"/>
    <col min="10" max="12" width="11.44140625" style="1" bestFit="1" customWidth="1"/>
    <col min="13" max="252" width="11.44140625" style="1"/>
    <col min="253" max="253" width="0" style="1" hidden="1" customWidth="1"/>
    <col min="254" max="254" width="2" style="1" customWidth="1"/>
    <col min="255" max="255" width="0" style="1" hidden="1" customWidth="1"/>
    <col min="256" max="256" width="27.44140625" style="1" customWidth="1"/>
    <col min="257" max="262" width="11.44140625" style="1"/>
    <col min="263" max="263" width="2.44140625" style="1" customWidth="1"/>
    <col min="264" max="264" width="0" style="1" hidden="1" customWidth="1"/>
    <col min="265" max="265" width="28" style="1" customWidth="1"/>
    <col min="266" max="508" width="11.44140625" style="1"/>
    <col min="509" max="509" width="0" style="1" hidden="1" customWidth="1"/>
    <col min="510" max="510" width="2" style="1" customWidth="1"/>
    <col min="511" max="511" width="0" style="1" hidden="1" customWidth="1"/>
    <col min="512" max="512" width="27.44140625" style="1" customWidth="1"/>
    <col min="513" max="518" width="11.44140625" style="1"/>
    <col min="519" max="519" width="2.44140625" style="1" customWidth="1"/>
    <col min="520" max="520" width="0" style="1" hidden="1" customWidth="1"/>
    <col min="521" max="521" width="28" style="1" customWidth="1"/>
    <col min="522" max="764" width="11.44140625" style="1"/>
    <col min="765" max="765" width="0" style="1" hidden="1" customWidth="1"/>
    <col min="766" max="766" width="2" style="1" customWidth="1"/>
    <col min="767" max="767" width="0" style="1" hidden="1" customWidth="1"/>
    <col min="768" max="768" width="27.44140625" style="1" customWidth="1"/>
    <col min="769" max="774" width="11.44140625" style="1"/>
    <col min="775" max="775" width="2.44140625" style="1" customWidth="1"/>
    <col min="776" max="776" width="0" style="1" hidden="1" customWidth="1"/>
    <col min="777" max="777" width="28" style="1" customWidth="1"/>
    <col min="778" max="1020" width="11.44140625" style="1"/>
    <col min="1021" max="1021" width="0" style="1" hidden="1" customWidth="1"/>
    <col min="1022" max="1022" width="2" style="1" customWidth="1"/>
    <col min="1023" max="1023" width="0" style="1" hidden="1" customWidth="1"/>
    <col min="1024" max="1024" width="27.44140625" style="1" customWidth="1"/>
    <col min="1025" max="1030" width="11.44140625" style="1"/>
    <col min="1031" max="1031" width="2.44140625" style="1" customWidth="1"/>
    <col min="1032" max="1032" width="0" style="1" hidden="1" customWidth="1"/>
    <col min="1033" max="1033" width="28" style="1" customWidth="1"/>
    <col min="1034" max="1276" width="11.44140625" style="1"/>
    <col min="1277" max="1277" width="0" style="1" hidden="1" customWidth="1"/>
    <col min="1278" max="1278" width="2" style="1" customWidth="1"/>
    <col min="1279" max="1279" width="0" style="1" hidden="1" customWidth="1"/>
    <col min="1280" max="1280" width="27.44140625" style="1" customWidth="1"/>
    <col min="1281" max="1286" width="11.44140625" style="1"/>
    <col min="1287" max="1287" width="2.44140625" style="1" customWidth="1"/>
    <col min="1288" max="1288" width="0" style="1" hidden="1" customWidth="1"/>
    <col min="1289" max="1289" width="28" style="1" customWidth="1"/>
    <col min="1290" max="1532" width="11.44140625" style="1"/>
    <col min="1533" max="1533" width="0" style="1" hidden="1" customWidth="1"/>
    <col min="1534" max="1534" width="2" style="1" customWidth="1"/>
    <col min="1535" max="1535" width="0" style="1" hidden="1" customWidth="1"/>
    <col min="1536" max="1536" width="27.44140625" style="1" customWidth="1"/>
    <col min="1537" max="1542" width="11.44140625" style="1"/>
    <col min="1543" max="1543" width="2.44140625" style="1" customWidth="1"/>
    <col min="1544" max="1544" width="0" style="1" hidden="1" customWidth="1"/>
    <col min="1545" max="1545" width="28" style="1" customWidth="1"/>
    <col min="1546" max="1788" width="11.44140625" style="1"/>
    <col min="1789" max="1789" width="0" style="1" hidden="1" customWidth="1"/>
    <col min="1790" max="1790" width="2" style="1" customWidth="1"/>
    <col min="1791" max="1791" width="0" style="1" hidden="1" customWidth="1"/>
    <col min="1792" max="1792" width="27.44140625" style="1" customWidth="1"/>
    <col min="1793" max="1798" width="11.44140625" style="1"/>
    <col min="1799" max="1799" width="2.44140625" style="1" customWidth="1"/>
    <col min="1800" max="1800" width="0" style="1" hidden="1" customWidth="1"/>
    <col min="1801" max="1801" width="28" style="1" customWidth="1"/>
    <col min="1802" max="2044" width="11.44140625" style="1"/>
    <col min="2045" max="2045" width="0" style="1" hidden="1" customWidth="1"/>
    <col min="2046" max="2046" width="2" style="1" customWidth="1"/>
    <col min="2047" max="2047" width="0" style="1" hidden="1" customWidth="1"/>
    <col min="2048" max="2048" width="27.44140625" style="1" customWidth="1"/>
    <col min="2049" max="2054" width="11.44140625" style="1"/>
    <col min="2055" max="2055" width="2.44140625" style="1" customWidth="1"/>
    <col min="2056" max="2056" width="0" style="1" hidden="1" customWidth="1"/>
    <col min="2057" max="2057" width="28" style="1" customWidth="1"/>
    <col min="2058" max="2300" width="11.44140625" style="1"/>
    <col min="2301" max="2301" width="0" style="1" hidden="1" customWidth="1"/>
    <col min="2302" max="2302" width="2" style="1" customWidth="1"/>
    <col min="2303" max="2303" width="0" style="1" hidden="1" customWidth="1"/>
    <col min="2304" max="2304" width="27.44140625" style="1" customWidth="1"/>
    <col min="2305" max="2310" width="11.44140625" style="1"/>
    <col min="2311" max="2311" width="2.44140625" style="1" customWidth="1"/>
    <col min="2312" max="2312" width="0" style="1" hidden="1" customWidth="1"/>
    <col min="2313" max="2313" width="28" style="1" customWidth="1"/>
    <col min="2314" max="2556" width="11.44140625" style="1"/>
    <col min="2557" max="2557" width="0" style="1" hidden="1" customWidth="1"/>
    <col min="2558" max="2558" width="2" style="1" customWidth="1"/>
    <col min="2559" max="2559" width="0" style="1" hidden="1" customWidth="1"/>
    <col min="2560" max="2560" width="27.44140625" style="1" customWidth="1"/>
    <col min="2561" max="2566" width="11.44140625" style="1"/>
    <col min="2567" max="2567" width="2.44140625" style="1" customWidth="1"/>
    <col min="2568" max="2568" width="0" style="1" hidden="1" customWidth="1"/>
    <col min="2569" max="2569" width="28" style="1" customWidth="1"/>
    <col min="2570" max="2812" width="11.44140625" style="1"/>
    <col min="2813" max="2813" width="0" style="1" hidden="1" customWidth="1"/>
    <col min="2814" max="2814" width="2" style="1" customWidth="1"/>
    <col min="2815" max="2815" width="0" style="1" hidden="1" customWidth="1"/>
    <col min="2816" max="2816" width="27.44140625" style="1" customWidth="1"/>
    <col min="2817" max="2822" width="11.44140625" style="1"/>
    <col min="2823" max="2823" width="2.44140625" style="1" customWidth="1"/>
    <col min="2824" max="2824" width="0" style="1" hidden="1" customWidth="1"/>
    <col min="2825" max="2825" width="28" style="1" customWidth="1"/>
    <col min="2826" max="3068" width="11.44140625" style="1"/>
    <col min="3069" max="3069" width="0" style="1" hidden="1" customWidth="1"/>
    <col min="3070" max="3070" width="2" style="1" customWidth="1"/>
    <col min="3071" max="3071" width="0" style="1" hidden="1" customWidth="1"/>
    <col min="3072" max="3072" width="27.44140625" style="1" customWidth="1"/>
    <col min="3073" max="3078" width="11.44140625" style="1"/>
    <col min="3079" max="3079" width="2.44140625" style="1" customWidth="1"/>
    <col min="3080" max="3080" width="0" style="1" hidden="1" customWidth="1"/>
    <col min="3081" max="3081" width="28" style="1" customWidth="1"/>
    <col min="3082" max="3324" width="11.44140625" style="1"/>
    <col min="3325" max="3325" width="0" style="1" hidden="1" customWidth="1"/>
    <col min="3326" max="3326" width="2" style="1" customWidth="1"/>
    <col min="3327" max="3327" width="0" style="1" hidden="1" customWidth="1"/>
    <col min="3328" max="3328" width="27.44140625" style="1" customWidth="1"/>
    <col min="3329" max="3334" width="11.44140625" style="1"/>
    <col min="3335" max="3335" width="2.44140625" style="1" customWidth="1"/>
    <col min="3336" max="3336" width="0" style="1" hidden="1" customWidth="1"/>
    <col min="3337" max="3337" width="28" style="1" customWidth="1"/>
    <col min="3338" max="3580" width="11.44140625" style="1"/>
    <col min="3581" max="3581" width="0" style="1" hidden="1" customWidth="1"/>
    <col min="3582" max="3582" width="2" style="1" customWidth="1"/>
    <col min="3583" max="3583" width="0" style="1" hidden="1" customWidth="1"/>
    <col min="3584" max="3584" width="27.44140625" style="1" customWidth="1"/>
    <col min="3585" max="3590" width="11.44140625" style="1"/>
    <col min="3591" max="3591" width="2.44140625" style="1" customWidth="1"/>
    <col min="3592" max="3592" width="0" style="1" hidden="1" customWidth="1"/>
    <col min="3593" max="3593" width="28" style="1" customWidth="1"/>
    <col min="3594" max="3836" width="11.44140625" style="1"/>
    <col min="3837" max="3837" width="0" style="1" hidden="1" customWidth="1"/>
    <col min="3838" max="3838" width="2" style="1" customWidth="1"/>
    <col min="3839" max="3839" width="0" style="1" hidden="1" customWidth="1"/>
    <col min="3840" max="3840" width="27.44140625" style="1" customWidth="1"/>
    <col min="3841" max="3846" width="11.44140625" style="1"/>
    <col min="3847" max="3847" width="2.44140625" style="1" customWidth="1"/>
    <col min="3848" max="3848" width="0" style="1" hidden="1" customWidth="1"/>
    <col min="3849" max="3849" width="28" style="1" customWidth="1"/>
    <col min="3850" max="4092" width="11.44140625" style="1"/>
    <col min="4093" max="4093" width="0" style="1" hidden="1" customWidth="1"/>
    <col min="4094" max="4094" width="2" style="1" customWidth="1"/>
    <col min="4095" max="4095" width="0" style="1" hidden="1" customWidth="1"/>
    <col min="4096" max="4096" width="27.44140625" style="1" customWidth="1"/>
    <col min="4097" max="4102" width="11.44140625" style="1"/>
    <col min="4103" max="4103" width="2.44140625" style="1" customWidth="1"/>
    <col min="4104" max="4104" width="0" style="1" hidden="1" customWidth="1"/>
    <col min="4105" max="4105" width="28" style="1" customWidth="1"/>
    <col min="4106" max="4348" width="11.44140625" style="1"/>
    <col min="4349" max="4349" width="0" style="1" hidden="1" customWidth="1"/>
    <col min="4350" max="4350" width="2" style="1" customWidth="1"/>
    <col min="4351" max="4351" width="0" style="1" hidden="1" customWidth="1"/>
    <col min="4352" max="4352" width="27.44140625" style="1" customWidth="1"/>
    <col min="4353" max="4358" width="11.44140625" style="1"/>
    <col min="4359" max="4359" width="2.44140625" style="1" customWidth="1"/>
    <col min="4360" max="4360" width="0" style="1" hidden="1" customWidth="1"/>
    <col min="4361" max="4361" width="28" style="1" customWidth="1"/>
    <col min="4362" max="4604" width="11.44140625" style="1"/>
    <col min="4605" max="4605" width="0" style="1" hidden="1" customWidth="1"/>
    <col min="4606" max="4606" width="2" style="1" customWidth="1"/>
    <col min="4607" max="4607" width="0" style="1" hidden="1" customWidth="1"/>
    <col min="4608" max="4608" width="27.44140625" style="1" customWidth="1"/>
    <col min="4609" max="4614" width="11.44140625" style="1"/>
    <col min="4615" max="4615" width="2.44140625" style="1" customWidth="1"/>
    <col min="4616" max="4616" width="0" style="1" hidden="1" customWidth="1"/>
    <col min="4617" max="4617" width="28" style="1" customWidth="1"/>
    <col min="4618" max="4860" width="11.44140625" style="1"/>
    <col min="4861" max="4861" width="0" style="1" hidden="1" customWidth="1"/>
    <col min="4862" max="4862" width="2" style="1" customWidth="1"/>
    <col min="4863" max="4863" width="0" style="1" hidden="1" customWidth="1"/>
    <col min="4864" max="4864" width="27.44140625" style="1" customWidth="1"/>
    <col min="4865" max="4870" width="11.44140625" style="1"/>
    <col min="4871" max="4871" width="2.44140625" style="1" customWidth="1"/>
    <col min="4872" max="4872" width="0" style="1" hidden="1" customWidth="1"/>
    <col min="4873" max="4873" width="28" style="1" customWidth="1"/>
    <col min="4874" max="5116" width="11.44140625" style="1"/>
    <col min="5117" max="5117" width="0" style="1" hidden="1" customWidth="1"/>
    <col min="5118" max="5118" width="2" style="1" customWidth="1"/>
    <col min="5119" max="5119" width="0" style="1" hidden="1" customWidth="1"/>
    <col min="5120" max="5120" width="27.44140625" style="1" customWidth="1"/>
    <col min="5121" max="5126" width="11.44140625" style="1"/>
    <col min="5127" max="5127" width="2.44140625" style="1" customWidth="1"/>
    <col min="5128" max="5128" width="0" style="1" hidden="1" customWidth="1"/>
    <col min="5129" max="5129" width="28" style="1" customWidth="1"/>
    <col min="5130" max="5372" width="11.44140625" style="1"/>
    <col min="5373" max="5373" width="0" style="1" hidden="1" customWidth="1"/>
    <col min="5374" max="5374" width="2" style="1" customWidth="1"/>
    <col min="5375" max="5375" width="0" style="1" hidden="1" customWidth="1"/>
    <col min="5376" max="5376" width="27.44140625" style="1" customWidth="1"/>
    <col min="5377" max="5382" width="11.44140625" style="1"/>
    <col min="5383" max="5383" width="2.44140625" style="1" customWidth="1"/>
    <col min="5384" max="5384" width="0" style="1" hidden="1" customWidth="1"/>
    <col min="5385" max="5385" width="28" style="1" customWidth="1"/>
    <col min="5386" max="5628" width="11.44140625" style="1"/>
    <col min="5629" max="5629" width="0" style="1" hidden="1" customWidth="1"/>
    <col min="5630" max="5630" width="2" style="1" customWidth="1"/>
    <col min="5631" max="5631" width="0" style="1" hidden="1" customWidth="1"/>
    <col min="5632" max="5632" width="27.44140625" style="1" customWidth="1"/>
    <col min="5633" max="5638" width="11.44140625" style="1"/>
    <col min="5639" max="5639" width="2.44140625" style="1" customWidth="1"/>
    <col min="5640" max="5640" width="0" style="1" hidden="1" customWidth="1"/>
    <col min="5641" max="5641" width="28" style="1" customWidth="1"/>
    <col min="5642" max="5884" width="11.44140625" style="1"/>
    <col min="5885" max="5885" width="0" style="1" hidden="1" customWidth="1"/>
    <col min="5886" max="5886" width="2" style="1" customWidth="1"/>
    <col min="5887" max="5887" width="0" style="1" hidden="1" customWidth="1"/>
    <col min="5888" max="5888" width="27.44140625" style="1" customWidth="1"/>
    <col min="5889" max="5894" width="11.44140625" style="1"/>
    <col min="5895" max="5895" width="2.44140625" style="1" customWidth="1"/>
    <col min="5896" max="5896" width="0" style="1" hidden="1" customWidth="1"/>
    <col min="5897" max="5897" width="28" style="1" customWidth="1"/>
    <col min="5898" max="6140" width="11.44140625" style="1"/>
    <col min="6141" max="6141" width="0" style="1" hidden="1" customWidth="1"/>
    <col min="6142" max="6142" width="2" style="1" customWidth="1"/>
    <col min="6143" max="6143" width="0" style="1" hidden="1" customWidth="1"/>
    <col min="6144" max="6144" width="27.44140625" style="1" customWidth="1"/>
    <col min="6145" max="6150" width="11.44140625" style="1"/>
    <col min="6151" max="6151" width="2.44140625" style="1" customWidth="1"/>
    <col min="6152" max="6152" width="0" style="1" hidden="1" customWidth="1"/>
    <col min="6153" max="6153" width="28" style="1" customWidth="1"/>
    <col min="6154" max="6396" width="11.44140625" style="1"/>
    <col min="6397" max="6397" width="0" style="1" hidden="1" customWidth="1"/>
    <col min="6398" max="6398" width="2" style="1" customWidth="1"/>
    <col min="6399" max="6399" width="0" style="1" hidden="1" customWidth="1"/>
    <col min="6400" max="6400" width="27.44140625" style="1" customWidth="1"/>
    <col min="6401" max="6406" width="11.44140625" style="1"/>
    <col min="6407" max="6407" width="2.44140625" style="1" customWidth="1"/>
    <col min="6408" max="6408" width="0" style="1" hidden="1" customWidth="1"/>
    <col min="6409" max="6409" width="28" style="1" customWidth="1"/>
    <col min="6410" max="6652" width="11.44140625" style="1"/>
    <col min="6653" max="6653" width="0" style="1" hidden="1" customWidth="1"/>
    <col min="6654" max="6654" width="2" style="1" customWidth="1"/>
    <col min="6655" max="6655" width="0" style="1" hidden="1" customWidth="1"/>
    <col min="6656" max="6656" width="27.44140625" style="1" customWidth="1"/>
    <col min="6657" max="6662" width="11.44140625" style="1"/>
    <col min="6663" max="6663" width="2.44140625" style="1" customWidth="1"/>
    <col min="6664" max="6664" width="0" style="1" hidden="1" customWidth="1"/>
    <col min="6665" max="6665" width="28" style="1" customWidth="1"/>
    <col min="6666" max="6908" width="11.44140625" style="1"/>
    <col min="6909" max="6909" width="0" style="1" hidden="1" customWidth="1"/>
    <col min="6910" max="6910" width="2" style="1" customWidth="1"/>
    <col min="6911" max="6911" width="0" style="1" hidden="1" customWidth="1"/>
    <col min="6912" max="6912" width="27.44140625" style="1" customWidth="1"/>
    <col min="6913" max="6918" width="11.44140625" style="1"/>
    <col min="6919" max="6919" width="2.44140625" style="1" customWidth="1"/>
    <col min="6920" max="6920" width="0" style="1" hidden="1" customWidth="1"/>
    <col min="6921" max="6921" width="28" style="1" customWidth="1"/>
    <col min="6922" max="7164" width="11.44140625" style="1"/>
    <col min="7165" max="7165" width="0" style="1" hidden="1" customWidth="1"/>
    <col min="7166" max="7166" width="2" style="1" customWidth="1"/>
    <col min="7167" max="7167" width="0" style="1" hidden="1" customWidth="1"/>
    <col min="7168" max="7168" width="27.44140625" style="1" customWidth="1"/>
    <col min="7169" max="7174" width="11.44140625" style="1"/>
    <col min="7175" max="7175" width="2.44140625" style="1" customWidth="1"/>
    <col min="7176" max="7176" width="0" style="1" hidden="1" customWidth="1"/>
    <col min="7177" max="7177" width="28" style="1" customWidth="1"/>
    <col min="7178" max="7420" width="11.44140625" style="1"/>
    <col min="7421" max="7421" width="0" style="1" hidden="1" customWidth="1"/>
    <col min="7422" max="7422" width="2" style="1" customWidth="1"/>
    <col min="7423" max="7423" width="0" style="1" hidden="1" customWidth="1"/>
    <col min="7424" max="7424" width="27.44140625" style="1" customWidth="1"/>
    <col min="7425" max="7430" width="11.44140625" style="1"/>
    <col min="7431" max="7431" width="2.44140625" style="1" customWidth="1"/>
    <col min="7432" max="7432" width="0" style="1" hidden="1" customWidth="1"/>
    <col min="7433" max="7433" width="28" style="1" customWidth="1"/>
    <col min="7434" max="7676" width="11.44140625" style="1"/>
    <col min="7677" max="7677" width="0" style="1" hidden="1" customWidth="1"/>
    <col min="7678" max="7678" width="2" style="1" customWidth="1"/>
    <col min="7679" max="7679" width="0" style="1" hidden="1" customWidth="1"/>
    <col min="7680" max="7680" width="27.44140625" style="1" customWidth="1"/>
    <col min="7681" max="7686" width="11.44140625" style="1"/>
    <col min="7687" max="7687" width="2.44140625" style="1" customWidth="1"/>
    <col min="7688" max="7688" width="0" style="1" hidden="1" customWidth="1"/>
    <col min="7689" max="7689" width="28" style="1" customWidth="1"/>
    <col min="7690" max="7932" width="11.44140625" style="1"/>
    <col min="7933" max="7933" width="0" style="1" hidden="1" customWidth="1"/>
    <col min="7934" max="7934" width="2" style="1" customWidth="1"/>
    <col min="7935" max="7935" width="0" style="1" hidden="1" customWidth="1"/>
    <col min="7936" max="7936" width="27.44140625" style="1" customWidth="1"/>
    <col min="7937" max="7942" width="11.44140625" style="1"/>
    <col min="7943" max="7943" width="2.44140625" style="1" customWidth="1"/>
    <col min="7944" max="7944" width="0" style="1" hidden="1" customWidth="1"/>
    <col min="7945" max="7945" width="28" style="1" customWidth="1"/>
    <col min="7946" max="8188" width="11.44140625" style="1"/>
    <col min="8189" max="8189" width="0" style="1" hidden="1" customWidth="1"/>
    <col min="8190" max="8190" width="2" style="1" customWidth="1"/>
    <col min="8191" max="8191" width="0" style="1" hidden="1" customWidth="1"/>
    <col min="8192" max="8192" width="27.44140625" style="1" customWidth="1"/>
    <col min="8193" max="8198" width="11.44140625" style="1"/>
    <col min="8199" max="8199" width="2.44140625" style="1" customWidth="1"/>
    <col min="8200" max="8200" width="0" style="1" hidden="1" customWidth="1"/>
    <col min="8201" max="8201" width="28" style="1" customWidth="1"/>
    <col min="8202" max="8444" width="11.44140625" style="1"/>
    <col min="8445" max="8445" width="0" style="1" hidden="1" customWidth="1"/>
    <col min="8446" max="8446" width="2" style="1" customWidth="1"/>
    <col min="8447" max="8447" width="0" style="1" hidden="1" customWidth="1"/>
    <col min="8448" max="8448" width="27.44140625" style="1" customWidth="1"/>
    <col min="8449" max="8454" width="11.44140625" style="1"/>
    <col min="8455" max="8455" width="2.44140625" style="1" customWidth="1"/>
    <col min="8456" max="8456" width="0" style="1" hidden="1" customWidth="1"/>
    <col min="8457" max="8457" width="28" style="1" customWidth="1"/>
    <col min="8458" max="8700" width="11.44140625" style="1"/>
    <col min="8701" max="8701" width="0" style="1" hidden="1" customWidth="1"/>
    <col min="8702" max="8702" width="2" style="1" customWidth="1"/>
    <col min="8703" max="8703" width="0" style="1" hidden="1" customWidth="1"/>
    <col min="8704" max="8704" width="27.44140625" style="1" customWidth="1"/>
    <col min="8705" max="8710" width="11.44140625" style="1"/>
    <col min="8711" max="8711" width="2.44140625" style="1" customWidth="1"/>
    <col min="8712" max="8712" width="0" style="1" hidden="1" customWidth="1"/>
    <col min="8713" max="8713" width="28" style="1" customWidth="1"/>
    <col min="8714" max="8956" width="11.44140625" style="1"/>
    <col min="8957" max="8957" width="0" style="1" hidden="1" customWidth="1"/>
    <col min="8958" max="8958" width="2" style="1" customWidth="1"/>
    <col min="8959" max="8959" width="0" style="1" hidden="1" customWidth="1"/>
    <col min="8960" max="8960" width="27.44140625" style="1" customWidth="1"/>
    <col min="8961" max="8966" width="11.44140625" style="1"/>
    <col min="8967" max="8967" width="2.44140625" style="1" customWidth="1"/>
    <col min="8968" max="8968" width="0" style="1" hidden="1" customWidth="1"/>
    <col min="8969" max="8969" width="28" style="1" customWidth="1"/>
    <col min="8970" max="9212" width="11.44140625" style="1"/>
    <col min="9213" max="9213" width="0" style="1" hidden="1" customWidth="1"/>
    <col min="9214" max="9214" width="2" style="1" customWidth="1"/>
    <col min="9215" max="9215" width="0" style="1" hidden="1" customWidth="1"/>
    <col min="9216" max="9216" width="27.44140625" style="1" customWidth="1"/>
    <col min="9217" max="9222" width="11.44140625" style="1"/>
    <col min="9223" max="9223" width="2.44140625" style="1" customWidth="1"/>
    <col min="9224" max="9224" width="0" style="1" hidden="1" customWidth="1"/>
    <col min="9225" max="9225" width="28" style="1" customWidth="1"/>
    <col min="9226" max="9468" width="11.44140625" style="1"/>
    <col min="9469" max="9469" width="0" style="1" hidden="1" customWidth="1"/>
    <col min="9470" max="9470" width="2" style="1" customWidth="1"/>
    <col min="9471" max="9471" width="0" style="1" hidden="1" customWidth="1"/>
    <col min="9472" max="9472" width="27.44140625" style="1" customWidth="1"/>
    <col min="9473" max="9478" width="11.44140625" style="1"/>
    <col min="9479" max="9479" width="2.44140625" style="1" customWidth="1"/>
    <col min="9480" max="9480" width="0" style="1" hidden="1" customWidth="1"/>
    <col min="9481" max="9481" width="28" style="1" customWidth="1"/>
    <col min="9482" max="9724" width="11.44140625" style="1"/>
    <col min="9725" max="9725" width="0" style="1" hidden="1" customWidth="1"/>
    <col min="9726" max="9726" width="2" style="1" customWidth="1"/>
    <col min="9727" max="9727" width="0" style="1" hidden="1" customWidth="1"/>
    <col min="9728" max="9728" width="27.44140625" style="1" customWidth="1"/>
    <col min="9729" max="9734" width="11.44140625" style="1"/>
    <col min="9735" max="9735" width="2.44140625" style="1" customWidth="1"/>
    <col min="9736" max="9736" width="0" style="1" hidden="1" customWidth="1"/>
    <col min="9737" max="9737" width="28" style="1" customWidth="1"/>
    <col min="9738" max="9980" width="11.44140625" style="1"/>
    <col min="9981" max="9981" width="0" style="1" hidden="1" customWidth="1"/>
    <col min="9982" max="9982" width="2" style="1" customWidth="1"/>
    <col min="9983" max="9983" width="0" style="1" hidden="1" customWidth="1"/>
    <col min="9984" max="9984" width="27.44140625" style="1" customWidth="1"/>
    <col min="9985" max="9990" width="11.44140625" style="1"/>
    <col min="9991" max="9991" width="2.44140625" style="1" customWidth="1"/>
    <col min="9992" max="9992" width="0" style="1" hidden="1" customWidth="1"/>
    <col min="9993" max="9993" width="28" style="1" customWidth="1"/>
    <col min="9994" max="10236" width="11.44140625" style="1"/>
    <col min="10237" max="10237" width="0" style="1" hidden="1" customWidth="1"/>
    <col min="10238" max="10238" width="2" style="1" customWidth="1"/>
    <col min="10239" max="10239" width="0" style="1" hidden="1" customWidth="1"/>
    <col min="10240" max="10240" width="27.44140625" style="1" customWidth="1"/>
    <col min="10241" max="10246" width="11.44140625" style="1"/>
    <col min="10247" max="10247" width="2.44140625" style="1" customWidth="1"/>
    <col min="10248" max="10248" width="0" style="1" hidden="1" customWidth="1"/>
    <col min="10249" max="10249" width="28" style="1" customWidth="1"/>
    <col min="10250" max="10492" width="11.44140625" style="1"/>
    <col min="10493" max="10493" width="0" style="1" hidden="1" customWidth="1"/>
    <col min="10494" max="10494" width="2" style="1" customWidth="1"/>
    <col min="10495" max="10495" width="0" style="1" hidden="1" customWidth="1"/>
    <col min="10496" max="10496" width="27.44140625" style="1" customWidth="1"/>
    <col min="10497" max="10502" width="11.44140625" style="1"/>
    <col min="10503" max="10503" width="2.44140625" style="1" customWidth="1"/>
    <col min="10504" max="10504" width="0" style="1" hidden="1" customWidth="1"/>
    <col min="10505" max="10505" width="28" style="1" customWidth="1"/>
    <col min="10506" max="10748" width="11.44140625" style="1"/>
    <col min="10749" max="10749" width="0" style="1" hidden="1" customWidth="1"/>
    <col min="10750" max="10750" width="2" style="1" customWidth="1"/>
    <col min="10751" max="10751" width="0" style="1" hidden="1" customWidth="1"/>
    <col min="10752" max="10752" width="27.44140625" style="1" customWidth="1"/>
    <col min="10753" max="10758" width="11.44140625" style="1"/>
    <col min="10759" max="10759" width="2.44140625" style="1" customWidth="1"/>
    <col min="10760" max="10760" width="0" style="1" hidden="1" customWidth="1"/>
    <col min="10761" max="10761" width="28" style="1" customWidth="1"/>
    <col min="10762" max="11004" width="11.44140625" style="1"/>
    <col min="11005" max="11005" width="0" style="1" hidden="1" customWidth="1"/>
    <col min="11006" max="11006" width="2" style="1" customWidth="1"/>
    <col min="11007" max="11007" width="0" style="1" hidden="1" customWidth="1"/>
    <col min="11008" max="11008" width="27.44140625" style="1" customWidth="1"/>
    <col min="11009" max="11014" width="11.44140625" style="1"/>
    <col min="11015" max="11015" width="2.44140625" style="1" customWidth="1"/>
    <col min="11016" max="11016" width="0" style="1" hidden="1" customWidth="1"/>
    <col min="11017" max="11017" width="28" style="1" customWidth="1"/>
    <col min="11018" max="11260" width="11.44140625" style="1"/>
    <col min="11261" max="11261" width="0" style="1" hidden="1" customWidth="1"/>
    <col min="11262" max="11262" width="2" style="1" customWidth="1"/>
    <col min="11263" max="11263" width="0" style="1" hidden="1" customWidth="1"/>
    <col min="11264" max="11264" width="27.44140625" style="1" customWidth="1"/>
    <col min="11265" max="11270" width="11.44140625" style="1"/>
    <col min="11271" max="11271" width="2.44140625" style="1" customWidth="1"/>
    <col min="11272" max="11272" width="0" style="1" hidden="1" customWidth="1"/>
    <col min="11273" max="11273" width="28" style="1" customWidth="1"/>
    <col min="11274" max="11516" width="11.44140625" style="1"/>
    <col min="11517" max="11517" width="0" style="1" hidden="1" customWidth="1"/>
    <col min="11518" max="11518" width="2" style="1" customWidth="1"/>
    <col min="11519" max="11519" width="0" style="1" hidden="1" customWidth="1"/>
    <col min="11520" max="11520" width="27.44140625" style="1" customWidth="1"/>
    <col min="11521" max="11526" width="11.44140625" style="1"/>
    <col min="11527" max="11527" width="2.44140625" style="1" customWidth="1"/>
    <col min="11528" max="11528" width="0" style="1" hidden="1" customWidth="1"/>
    <col min="11529" max="11529" width="28" style="1" customWidth="1"/>
    <col min="11530" max="11772" width="11.44140625" style="1"/>
    <col min="11773" max="11773" width="0" style="1" hidden="1" customWidth="1"/>
    <col min="11774" max="11774" width="2" style="1" customWidth="1"/>
    <col min="11775" max="11775" width="0" style="1" hidden="1" customWidth="1"/>
    <col min="11776" max="11776" width="27.44140625" style="1" customWidth="1"/>
    <col min="11777" max="11782" width="11.44140625" style="1"/>
    <col min="11783" max="11783" width="2.44140625" style="1" customWidth="1"/>
    <col min="11784" max="11784" width="0" style="1" hidden="1" customWidth="1"/>
    <col min="11785" max="11785" width="28" style="1" customWidth="1"/>
    <col min="11786" max="12028" width="11.44140625" style="1"/>
    <col min="12029" max="12029" width="0" style="1" hidden="1" customWidth="1"/>
    <col min="12030" max="12030" width="2" style="1" customWidth="1"/>
    <col min="12031" max="12031" width="0" style="1" hidden="1" customWidth="1"/>
    <col min="12032" max="12032" width="27.44140625" style="1" customWidth="1"/>
    <col min="12033" max="12038" width="11.44140625" style="1"/>
    <col min="12039" max="12039" width="2.44140625" style="1" customWidth="1"/>
    <col min="12040" max="12040" width="0" style="1" hidden="1" customWidth="1"/>
    <col min="12041" max="12041" width="28" style="1" customWidth="1"/>
    <col min="12042" max="12284" width="11.44140625" style="1"/>
    <col min="12285" max="12285" width="0" style="1" hidden="1" customWidth="1"/>
    <col min="12286" max="12286" width="2" style="1" customWidth="1"/>
    <col min="12287" max="12287" width="0" style="1" hidden="1" customWidth="1"/>
    <col min="12288" max="12288" width="27.44140625" style="1" customWidth="1"/>
    <col min="12289" max="12294" width="11.44140625" style="1"/>
    <col min="12295" max="12295" width="2.44140625" style="1" customWidth="1"/>
    <col min="12296" max="12296" width="0" style="1" hidden="1" customWidth="1"/>
    <col min="12297" max="12297" width="28" style="1" customWidth="1"/>
    <col min="12298" max="12540" width="11.44140625" style="1"/>
    <col min="12541" max="12541" width="0" style="1" hidden="1" customWidth="1"/>
    <col min="12542" max="12542" width="2" style="1" customWidth="1"/>
    <col min="12543" max="12543" width="0" style="1" hidden="1" customWidth="1"/>
    <col min="12544" max="12544" width="27.44140625" style="1" customWidth="1"/>
    <col min="12545" max="12550" width="11.44140625" style="1"/>
    <col min="12551" max="12551" width="2.44140625" style="1" customWidth="1"/>
    <col min="12552" max="12552" width="0" style="1" hidden="1" customWidth="1"/>
    <col min="12553" max="12553" width="28" style="1" customWidth="1"/>
    <col min="12554" max="12796" width="11.44140625" style="1"/>
    <col min="12797" max="12797" width="0" style="1" hidden="1" customWidth="1"/>
    <col min="12798" max="12798" width="2" style="1" customWidth="1"/>
    <col min="12799" max="12799" width="0" style="1" hidden="1" customWidth="1"/>
    <col min="12800" max="12800" width="27.44140625" style="1" customWidth="1"/>
    <col min="12801" max="12806" width="11.44140625" style="1"/>
    <col min="12807" max="12807" width="2.44140625" style="1" customWidth="1"/>
    <col min="12808" max="12808" width="0" style="1" hidden="1" customWidth="1"/>
    <col min="12809" max="12809" width="28" style="1" customWidth="1"/>
    <col min="12810" max="13052" width="11.44140625" style="1"/>
    <col min="13053" max="13053" width="0" style="1" hidden="1" customWidth="1"/>
    <col min="13054" max="13054" width="2" style="1" customWidth="1"/>
    <col min="13055" max="13055" width="0" style="1" hidden="1" customWidth="1"/>
    <col min="13056" max="13056" width="27.44140625" style="1" customWidth="1"/>
    <col min="13057" max="13062" width="11.44140625" style="1"/>
    <col min="13063" max="13063" width="2.44140625" style="1" customWidth="1"/>
    <col min="13064" max="13064" width="0" style="1" hidden="1" customWidth="1"/>
    <col min="13065" max="13065" width="28" style="1" customWidth="1"/>
    <col min="13066" max="13308" width="11.44140625" style="1"/>
    <col min="13309" max="13309" width="0" style="1" hidden="1" customWidth="1"/>
    <col min="13310" max="13310" width="2" style="1" customWidth="1"/>
    <col min="13311" max="13311" width="0" style="1" hidden="1" customWidth="1"/>
    <col min="13312" max="13312" width="27.44140625" style="1" customWidth="1"/>
    <col min="13313" max="13318" width="11.44140625" style="1"/>
    <col min="13319" max="13319" width="2.44140625" style="1" customWidth="1"/>
    <col min="13320" max="13320" width="0" style="1" hidden="1" customWidth="1"/>
    <col min="13321" max="13321" width="28" style="1" customWidth="1"/>
    <col min="13322" max="13564" width="11.44140625" style="1"/>
    <col min="13565" max="13565" width="0" style="1" hidden="1" customWidth="1"/>
    <col min="13566" max="13566" width="2" style="1" customWidth="1"/>
    <col min="13567" max="13567" width="0" style="1" hidden="1" customWidth="1"/>
    <col min="13568" max="13568" width="27.44140625" style="1" customWidth="1"/>
    <col min="13569" max="13574" width="11.44140625" style="1"/>
    <col min="13575" max="13575" width="2.44140625" style="1" customWidth="1"/>
    <col min="13576" max="13576" width="0" style="1" hidden="1" customWidth="1"/>
    <col min="13577" max="13577" width="28" style="1" customWidth="1"/>
    <col min="13578" max="13820" width="11.44140625" style="1"/>
    <col min="13821" max="13821" width="0" style="1" hidden="1" customWidth="1"/>
    <col min="13822" max="13822" width="2" style="1" customWidth="1"/>
    <col min="13823" max="13823" width="0" style="1" hidden="1" customWidth="1"/>
    <col min="13824" max="13824" width="27.44140625" style="1" customWidth="1"/>
    <col min="13825" max="13830" width="11.44140625" style="1"/>
    <col min="13831" max="13831" width="2.44140625" style="1" customWidth="1"/>
    <col min="13832" max="13832" width="0" style="1" hidden="1" customWidth="1"/>
    <col min="13833" max="13833" width="28" style="1" customWidth="1"/>
    <col min="13834" max="14076" width="11.44140625" style="1"/>
    <col min="14077" max="14077" width="0" style="1" hidden="1" customWidth="1"/>
    <col min="14078" max="14078" width="2" style="1" customWidth="1"/>
    <col min="14079" max="14079" width="0" style="1" hidden="1" customWidth="1"/>
    <col min="14080" max="14080" width="27.44140625" style="1" customWidth="1"/>
    <col min="14081" max="14086" width="11.44140625" style="1"/>
    <col min="14087" max="14087" width="2.44140625" style="1" customWidth="1"/>
    <col min="14088" max="14088" width="0" style="1" hidden="1" customWidth="1"/>
    <col min="14089" max="14089" width="28" style="1" customWidth="1"/>
    <col min="14090" max="14332" width="11.44140625" style="1"/>
    <col min="14333" max="14333" width="0" style="1" hidden="1" customWidth="1"/>
    <col min="14334" max="14334" width="2" style="1" customWidth="1"/>
    <col min="14335" max="14335" width="0" style="1" hidden="1" customWidth="1"/>
    <col min="14336" max="14336" width="27.44140625" style="1" customWidth="1"/>
    <col min="14337" max="14342" width="11.44140625" style="1"/>
    <col min="14343" max="14343" width="2.44140625" style="1" customWidth="1"/>
    <col min="14344" max="14344" width="0" style="1" hidden="1" customWidth="1"/>
    <col min="14345" max="14345" width="28" style="1" customWidth="1"/>
    <col min="14346" max="14588" width="11.44140625" style="1"/>
    <col min="14589" max="14589" width="0" style="1" hidden="1" customWidth="1"/>
    <col min="14590" max="14590" width="2" style="1" customWidth="1"/>
    <col min="14591" max="14591" width="0" style="1" hidden="1" customWidth="1"/>
    <col min="14592" max="14592" width="27.44140625" style="1" customWidth="1"/>
    <col min="14593" max="14598" width="11.44140625" style="1"/>
    <col min="14599" max="14599" width="2.44140625" style="1" customWidth="1"/>
    <col min="14600" max="14600" width="0" style="1" hidden="1" customWidth="1"/>
    <col min="14601" max="14601" width="28" style="1" customWidth="1"/>
    <col min="14602" max="14844" width="11.44140625" style="1"/>
    <col min="14845" max="14845" width="0" style="1" hidden="1" customWidth="1"/>
    <col min="14846" max="14846" width="2" style="1" customWidth="1"/>
    <col min="14847" max="14847" width="0" style="1" hidden="1" customWidth="1"/>
    <col min="14848" max="14848" width="27.44140625" style="1" customWidth="1"/>
    <col min="14849" max="14854" width="11.44140625" style="1"/>
    <col min="14855" max="14855" width="2.44140625" style="1" customWidth="1"/>
    <col min="14856" max="14856" width="0" style="1" hidden="1" customWidth="1"/>
    <col min="14857" max="14857" width="28" style="1" customWidth="1"/>
    <col min="14858" max="15100" width="11.44140625" style="1"/>
    <col min="15101" max="15101" width="0" style="1" hidden="1" customWidth="1"/>
    <col min="15102" max="15102" width="2" style="1" customWidth="1"/>
    <col min="15103" max="15103" width="0" style="1" hidden="1" customWidth="1"/>
    <col min="15104" max="15104" width="27.44140625" style="1" customWidth="1"/>
    <col min="15105" max="15110" width="11.44140625" style="1"/>
    <col min="15111" max="15111" width="2.44140625" style="1" customWidth="1"/>
    <col min="15112" max="15112" width="0" style="1" hidden="1" customWidth="1"/>
    <col min="15113" max="15113" width="28" style="1" customWidth="1"/>
    <col min="15114" max="15356" width="11.44140625" style="1"/>
    <col min="15357" max="15357" width="0" style="1" hidden="1" customWidth="1"/>
    <col min="15358" max="15358" width="2" style="1" customWidth="1"/>
    <col min="15359" max="15359" width="0" style="1" hidden="1" customWidth="1"/>
    <col min="15360" max="15360" width="27.44140625" style="1" customWidth="1"/>
    <col min="15361" max="15366" width="11.44140625" style="1"/>
    <col min="15367" max="15367" width="2.44140625" style="1" customWidth="1"/>
    <col min="15368" max="15368" width="0" style="1" hidden="1" customWidth="1"/>
    <col min="15369" max="15369" width="28" style="1" customWidth="1"/>
    <col min="15370" max="15612" width="11.44140625" style="1"/>
    <col min="15613" max="15613" width="0" style="1" hidden="1" customWidth="1"/>
    <col min="15614" max="15614" width="2" style="1" customWidth="1"/>
    <col min="15615" max="15615" width="0" style="1" hidden="1" customWidth="1"/>
    <col min="15616" max="15616" width="27.44140625" style="1" customWidth="1"/>
    <col min="15617" max="15622" width="11.44140625" style="1"/>
    <col min="15623" max="15623" width="2.44140625" style="1" customWidth="1"/>
    <col min="15624" max="15624" width="0" style="1" hidden="1" customWidth="1"/>
    <col min="15625" max="15625" width="28" style="1" customWidth="1"/>
    <col min="15626" max="15868" width="11.44140625" style="1"/>
    <col min="15869" max="15869" width="0" style="1" hidden="1" customWidth="1"/>
    <col min="15870" max="15870" width="2" style="1" customWidth="1"/>
    <col min="15871" max="15871" width="0" style="1" hidden="1" customWidth="1"/>
    <col min="15872" max="15872" width="27.44140625" style="1" customWidth="1"/>
    <col min="15873" max="15878" width="11.44140625" style="1"/>
    <col min="15879" max="15879" width="2.44140625" style="1" customWidth="1"/>
    <col min="15880" max="15880" width="0" style="1" hidden="1" customWidth="1"/>
    <col min="15881" max="15881" width="28" style="1" customWidth="1"/>
    <col min="15882" max="16124" width="11.44140625" style="1"/>
    <col min="16125" max="16125" width="0" style="1" hidden="1" customWidth="1"/>
    <col min="16126" max="16126" width="2" style="1" customWidth="1"/>
    <col min="16127" max="16127" width="0" style="1" hidden="1" customWidth="1"/>
    <col min="16128" max="16128" width="27.44140625" style="1" customWidth="1"/>
    <col min="16129" max="16134" width="11.44140625" style="1"/>
    <col min="16135" max="16135" width="2.44140625" style="1" customWidth="1"/>
    <col min="16136" max="16136" width="0" style="1" hidden="1" customWidth="1"/>
    <col min="16137" max="16137" width="28" style="1" customWidth="1"/>
    <col min="16138" max="16384" width="11.44140625" style="1"/>
  </cols>
  <sheetData>
    <row r="2" spans="2:14" ht="18">
      <c r="E2" s="300" t="s">
        <v>9</v>
      </c>
      <c r="F2" s="300"/>
      <c r="G2" s="300"/>
    </row>
    <row r="4" spans="2:14">
      <c r="C4" s="132" t="s">
        <v>1</v>
      </c>
      <c r="D4" s="132" t="s">
        <v>2</v>
      </c>
      <c r="E4" s="132" t="s">
        <v>3</v>
      </c>
      <c r="F4" s="132" t="s">
        <v>4</v>
      </c>
    </row>
    <row r="5" spans="2:14" ht="15.6">
      <c r="B5" s="131" t="s">
        <v>10</v>
      </c>
      <c r="C5" s="133">
        <f>'Inversión Inicial'!C33</f>
        <v>34500000</v>
      </c>
      <c r="D5" s="133">
        <f>'Inversión Inicial'!D33</f>
        <v>85800000</v>
      </c>
      <c r="E5" s="133">
        <f>'Inversión Inicial'!E33</f>
        <v>123500000</v>
      </c>
      <c r="F5" s="133">
        <f>'Inversión Inicial'!F33</f>
        <v>175000000</v>
      </c>
    </row>
    <row r="6" spans="2:14" ht="15.6">
      <c r="B6" s="28"/>
      <c r="E6" s="27"/>
    </row>
    <row r="7" spans="2:14" ht="16.2" thickBot="1">
      <c r="B7" s="131" t="s">
        <v>11</v>
      </c>
      <c r="C7" s="132" t="s">
        <v>1</v>
      </c>
      <c r="D7" s="98" t="s">
        <v>2</v>
      </c>
      <c r="E7" s="98" t="s">
        <v>3</v>
      </c>
      <c r="F7" s="98" t="s">
        <v>4</v>
      </c>
      <c r="I7" s="29"/>
    </row>
    <row r="8" spans="2:14" ht="14.4" thickBot="1">
      <c r="B8" s="178" t="s">
        <v>159</v>
      </c>
      <c r="C8" s="180">
        <v>30000000</v>
      </c>
      <c r="D8" s="144"/>
      <c r="E8" s="31"/>
      <c r="F8" s="31"/>
    </row>
    <row r="9" spans="2:14">
      <c r="B9" s="30" t="s">
        <v>181</v>
      </c>
      <c r="C9" s="179">
        <v>30000000</v>
      </c>
      <c r="D9" s="31"/>
      <c r="E9" s="31"/>
      <c r="F9" s="31"/>
    </row>
    <row r="10" spans="2:14" ht="15.6">
      <c r="B10" s="131" t="s">
        <v>12</v>
      </c>
      <c r="C10" s="133">
        <f>SUM(C8:C9)</f>
        <v>60000000</v>
      </c>
      <c r="D10" s="133">
        <f>SUM(D8:D9)</f>
        <v>0</v>
      </c>
      <c r="E10" s="133">
        <f>SUM(E8:E9)</f>
        <v>0</v>
      </c>
      <c r="F10" s="133">
        <f>SUM(F8:F9)</f>
        <v>0</v>
      </c>
      <c r="G10" s="301" t="str">
        <f>+IF(SUM(C10:F10)&lt;&gt;SUM(C5:F5),"EL TOTAL DE LA FINANCIACION NO COINCIDE CON LA CANTIDAD A FINANCIAR. REVISA TUS CIFRAS","")</f>
        <v>EL TOTAL DE LA FINANCIACION NO COINCIDE CON LA CANTIDAD A FINANCIAR. REVISA TUS CIFRAS</v>
      </c>
      <c r="H10" s="302"/>
      <c r="I10" s="302"/>
      <c r="J10" s="302"/>
      <c r="K10" s="302"/>
      <c r="L10" s="302"/>
      <c r="M10" s="302"/>
      <c r="N10" s="302"/>
    </row>
    <row r="12" spans="2:14" ht="15.6">
      <c r="B12" s="307" t="s">
        <v>13</v>
      </c>
      <c r="C12" s="307"/>
      <c r="D12" s="307"/>
      <c r="J12" s="32"/>
    </row>
    <row r="13" spans="2:14">
      <c r="B13" s="310" t="s">
        <v>14</v>
      </c>
      <c r="C13" s="311"/>
      <c r="D13" s="145">
        <v>10000000</v>
      </c>
      <c r="J13" s="7"/>
      <c r="M13" s="33"/>
    </row>
    <row r="14" spans="2:14">
      <c r="B14" s="310" t="s">
        <v>150</v>
      </c>
      <c r="C14" s="311"/>
      <c r="D14" s="139">
        <v>3</v>
      </c>
      <c r="H14" s="177"/>
      <c r="J14" s="7"/>
      <c r="M14" s="33"/>
    </row>
    <row r="15" spans="2:14">
      <c r="B15" s="310" t="s">
        <v>151</v>
      </c>
      <c r="C15" s="311"/>
      <c r="D15" s="140">
        <v>0.23580000000000001</v>
      </c>
      <c r="I15" s="154"/>
      <c r="J15" s="7"/>
      <c r="M15" s="34"/>
    </row>
    <row r="16" spans="2:14">
      <c r="B16" s="310" t="s">
        <v>152</v>
      </c>
      <c r="C16" s="311"/>
      <c r="D16" s="140">
        <v>0.02</v>
      </c>
      <c r="J16" s="7"/>
      <c r="M16" s="34"/>
    </row>
    <row r="18" spans="1:14">
      <c r="B18" s="134" t="s">
        <v>15</v>
      </c>
      <c r="C18" s="98" t="s">
        <v>2</v>
      </c>
      <c r="D18" s="98" t="s">
        <v>3</v>
      </c>
      <c r="E18" s="98" t="s">
        <v>4</v>
      </c>
      <c r="I18" s="35"/>
      <c r="J18" s="11"/>
      <c r="K18" s="11"/>
      <c r="L18" s="11"/>
    </row>
    <row r="19" spans="1:14">
      <c r="B19" s="30" t="s">
        <v>16</v>
      </c>
      <c r="C19" s="157">
        <f>SUM(D26:D37)</f>
        <v>2089686.9539854762</v>
      </c>
      <c r="D19" s="157">
        <f>IF(SUM(D38:D49)=0,"",SUM(D38:D49))</f>
        <v>1407958.4357027772</v>
      </c>
      <c r="E19" s="157">
        <f>IF(SUM(D50:D61)=0,"",SUM(D50:D61))</f>
        <v>546915.22877212311</v>
      </c>
      <c r="I19" s="36"/>
      <c r="J19" s="37"/>
      <c r="K19" s="37"/>
      <c r="L19" s="37"/>
    </row>
    <row r="20" spans="1:14">
      <c r="B20" s="30" t="s">
        <v>5</v>
      </c>
      <c r="C20" s="157">
        <f>SUM(E26:E37)</f>
        <v>2591833.2521680035</v>
      </c>
      <c r="D20" s="157">
        <f>IF(SUM(E38:E49)=0,"",SUM(E38:E49))</f>
        <v>3273561.7704507029</v>
      </c>
      <c r="E20" s="157">
        <f>IF(SUM(E50:E61)=0,"",SUM(E50:E61))</f>
        <v>4134604.9773813579</v>
      </c>
      <c r="I20" s="36"/>
      <c r="J20" s="37"/>
      <c r="K20" s="37"/>
      <c r="L20" s="37"/>
    </row>
    <row r="21" spans="1:14">
      <c r="B21" s="30" t="s">
        <v>17</v>
      </c>
      <c r="C21" s="157">
        <f>+C19+C20</f>
        <v>4681520.2061534794</v>
      </c>
      <c r="D21" s="157">
        <f>IF(OR(D20="",D19=""),"",D19+D20)</f>
        <v>4681520.2061534803</v>
      </c>
      <c r="E21" s="157">
        <f>IF(OR(E20="",E19=""),"",E19+E20)</f>
        <v>4681520.2061534813</v>
      </c>
      <c r="I21" s="36"/>
      <c r="J21" s="37"/>
      <c r="K21" s="37"/>
      <c r="L21" s="37"/>
    </row>
    <row r="22" spans="1:14">
      <c r="B22" s="30" t="s">
        <v>18</v>
      </c>
      <c r="C22" s="45">
        <f>+D13*D16</f>
        <v>200000</v>
      </c>
      <c r="I22" s="36"/>
      <c r="J22" s="37"/>
    </row>
    <row r="24" spans="1:14" ht="15.6">
      <c r="B24" s="303" t="s">
        <v>158</v>
      </c>
      <c r="C24" s="303" t="s">
        <v>155</v>
      </c>
      <c r="D24" s="308" t="s">
        <v>16</v>
      </c>
      <c r="E24" s="303" t="s">
        <v>5</v>
      </c>
      <c r="F24" s="303" t="s">
        <v>156</v>
      </c>
      <c r="G24" s="303" t="s">
        <v>157</v>
      </c>
      <c r="I24" s="38"/>
      <c r="J24" s="39"/>
      <c r="K24" s="40"/>
      <c r="L24" s="40"/>
      <c r="M24" s="39"/>
      <c r="N24" s="39"/>
    </row>
    <row r="25" spans="1:14" ht="15.6">
      <c r="B25" s="304"/>
      <c r="C25" s="304"/>
      <c r="D25" s="309"/>
      <c r="E25" s="304"/>
      <c r="F25" s="304"/>
      <c r="G25" s="304"/>
      <c r="I25" s="41"/>
      <c r="J25" s="39"/>
      <c r="K25" s="39"/>
      <c r="L25" s="39"/>
      <c r="M25" s="39"/>
      <c r="N25" s="39"/>
    </row>
    <row r="26" spans="1:14">
      <c r="A26" s="42"/>
      <c r="B26" s="47">
        <v>1</v>
      </c>
      <c r="C26" s="155">
        <f>ABS(PMT($D$15/12,$D$14*12,$D$13,0,0))</f>
        <v>390126.68384612212</v>
      </c>
      <c r="D26" s="155">
        <f>+IF(B26&lt;&gt;"",$D$13*$D$15/12,"")</f>
        <v>196500</v>
      </c>
      <c r="E26" s="155">
        <f>+IF(B26&lt;&gt;"",C26-D26,"")</f>
        <v>193626.68384612212</v>
      </c>
      <c r="F26" s="155">
        <f>+IF(B26&lt;&gt;"",E26,"")</f>
        <v>193626.68384612212</v>
      </c>
      <c r="G26" s="155">
        <f t="shared" ref="G26:G61" si="0">+IF(B26&lt;&gt;"",$D$13-F26,"")</f>
        <v>9806373.3161538783</v>
      </c>
      <c r="H26" s="42"/>
      <c r="I26" s="43"/>
      <c r="J26" s="44"/>
      <c r="K26" s="44"/>
      <c r="L26" s="44"/>
      <c r="M26" s="44"/>
      <c r="N26" s="44"/>
    </row>
    <row r="27" spans="1:14">
      <c r="A27" s="42"/>
      <c r="B27" s="47">
        <v>2</v>
      </c>
      <c r="C27" s="155">
        <f t="shared" ref="C27:C61" si="1">+IF(B27&lt;&gt;"",($D$13*$D$15/12)/(1-(1+($D$15/12))^(-$D$14*12)),"")</f>
        <v>390126.6838461234</v>
      </c>
      <c r="D27" s="155">
        <f t="shared" ref="D27:D61" si="2">+IF(B27&lt;&gt;"",G26*$D$15/12,"")</f>
        <v>192695.23566242374</v>
      </c>
      <c r="E27" s="155">
        <f>+IF(B27&lt;&gt;"",C27-D27,"")</f>
        <v>197431.44818369966</v>
      </c>
      <c r="F27" s="155">
        <f>+IF(B27&lt;&gt;"",E27+F26,"")</f>
        <v>391058.13202982175</v>
      </c>
      <c r="G27" s="155">
        <f t="shared" si="0"/>
        <v>9608941.8679701779</v>
      </c>
      <c r="H27" s="42"/>
      <c r="I27" s="43"/>
      <c r="J27" s="44"/>
      <c r="K27" s="44"/>
      <c r="L27" s="44"/>
      <c r="M27" s="44"/>
      <c r="N27" s="44"/>
    </row>
    <row r="28" spans="1:14">
      <c r="A28" s="42"/>
      <c r="B28" s="47">
        <v>3</v>
      </c>
      <c r="C28" s="155">
        <f t="shared" si="1"/>
        <v>390126.6838461234</v>
      </c>
      <c r="D28" s="155">
        <f t="shared" si="2"/>
        <v>188815.70770561401</v>
      </c>
      <c r="E28" s="155">
        <f t="shared" ref="E28:E61" si="3">+IF(B28&lt;&gt;"",C28-D28,"")</f>
        <v>201310.97614050939</v>
      </c>
      <c r="F28" s="155">
        <f t="shared" ref="F28:F61" si="4">+IF(B28&lt;&gt;"",E28+F27,"")</f>
        <v>592369.10817033111</v>
      </c>
      <c r="G28" s="155">
        <f t="shared" si="0"/>
        <v>9407630.8918296695</v>
      </c>
      <c r="H28" s="42"/>
      <c r="I28" s="43"/>
      <c r="J28" s="44"/>
      <c r="K28" s="44"/>
      <c r="L28" s="44"/>
      <c r="M28" s="44"/>
      <c r="N28" s="44"/>
    </row>
    <row r="29" spans="1:14">
      <c r="A29" s="42"/>
      <c r="B29" s="47">
        <v>4</v>
      </c>
      <c r="C29" s="155">
        <f t="shared" si="1"/>
        <v>390126.6838461234</v>
      </c>
      <c r="D29" s="155">
        <f t="shared" si="2"/>
        <v>184859.94702445299</v>
      </c>
      <c r="E29" s="155">
        <f t="shared" si="3"/>
        <v>205266.73682167041</v>
      </c>
      <c r="F29" s="155">
        <f t="shared" si="4"/>
        <v>797635.84499200154</v>
      </c>
      <c r="G29" s="155">
        <f t="shared" si="0"/>
        <v>9202364.1550079994</v>
      </c>
      <c r="H29" s="42"/>
      <c r="I29" s="43"/>
      <c r="J29" s="44"/>
      <c r="K29" s="44"/>
      <c r="L29" s="44"/>
      <c r="M29" s="44"/>
      <c r="N29" s="44"/>
    </row>
    <row r="30" spans="1:14">
      <c r="A30" s="42"/>
      <c r="B30" s="47">
        <v>5</v>
      </c>
      <c r="C30" s="155">
        <f t="shared" si="1"/>
        <v>390126.6838461234</v>
      </c>
      <c r="D30" s="155">
        <f t="shared" si="2"/>
        <v>180826.4556459072</v>
      </c>
      <c r="E30" s="155">
        <f t="shared" si="3"/>
        <v>209300.2282002162</v>
      </c>
      <c r="F30" s="155">
        <f t="shared" si="4"/>
        <v>1006936.0731922177</v>
      </c>
      <c r="G30" s="155">
        <f t="shared" si="0"/>
        <v>8993063.9268077817</v>
      </c>
      <c r="H30" s="42"/>
      <c r="I30" s="43"/>
      <c r="J30" s="44"/>
      <c r="K30" s="44"/>
      <c r="L30" s="44"/>
      <c r="M30" s="44"/>
      <c r="N30" s="44"/>
    </row>
    <row r="31" spans="1:14">
      <c r="A31" s="42"/>
      <c r="B31" s="47">
        <v>6</v>
      </c>
      <c r="C31" s="155">
        <f t="shared" si="1"/>
        <v>390126.6838461234</v>
      </c>
      <c r="D31" s="155">
        <f t="shared" si="2"/>
        <v>176713.70616177292</v>
      </c>
      <c r="E31" s="155">
        <f t="shared" si="3"/>
        <v>213412.97768435048</v>
      </c>
      <c r="F31" s="155">
        <f t="shared" si="4"/>
        <v>1220349.0508765683</v>
      </c>
      <c r="G31" s="155">
        <f t="shared" si="0"/>
        <v>8779650.949123431</v>
      </c>
      <c r="H31" s="42"/>
      <c r="I31" s="43"/>
      <c r="J31" s="44"/>
      <c r="K31" s="44"/>
      <c r="L31" s="44"/>
      <c r="M31" s="44"/>
      <c r="N31" s="44"/>
    </row>
    <row r="32" spans="1:14">
      <c r="A32" s="42"/>
      <c r="B32" s="47">
        <v>7</v>
      </c>
      <c r="C32" s="155">
        <f t="shared" si="1"/>
        <v>390126.6838461234</v>
      </c>
      <c r="D32" s="155">
        <f t="shared" si="2"/>
        <v>172520.14115027542</v>
      </c>
      <c r="E32" s="155">
        <f t="shared" si="3"/>
        <v>217606.54269584798</v>
      </c>
      <c r="F32" s="155">
        <f t="shared" si="4"/>
        <v>1437955.5935724163</v>
      </c>
      <c r="G32" s="155">
        <f t="shared" si="0"/>
        <v>8562044.4064275846</v>
      </c>
      <c r="H32" s="42"/>
      <c r="I32" s="43"/>
      <c r="J32" s="44"/>
      <c r="K32" s="44"/>
      <c r="L32" s="44"/>
      <c r="M32" s="44"/>
      <c r="N32" s="44"/>
    </row>
    <row r="33" spans="1:14">
      <c r="A33" s="42"/>
      <c r="B33" s="47">
        <v>8</v>
      </c>
      <c r="C33" s="155">
        <f t="shared" si="1"/>
        <v>390126.6838461234</v>
      </c>
      <c r="D33" s="155">
        <f t="shared" si="2"/>
        <v>168244.17258630204</v>
      </c>
      <c r="E33" s="155">
        <f t="shared" si="3"/>
        <v>221882.51125982136</v>
      </c>
      <c r="F33" s="155">
        <f t="shared" si="4"/>
        <v>1659838.1048322376</v>
      </c>
      <c r="G33" s="155">
        <f t="shared" si="0"/>
        <v>8340161.8951677624</v>
      </c>
      <c r="H33" s="42"/>
      <c r="I33" s="43"/>
      <c r="J33" s="44"/>
      <c r="K33" s="44"/>
      <c r="L33" s="44"/>
      <c r="M33" s="44"/>
      <c r="N33" s="44"/>
    </row>
    <row r="34" spans="1:14">
      <c r="A34" s="42"/>
      <c r="B34" s="47">
        <v>9</v>
      </c>
      <c r="C34" s="155">
        <f t="shared" si="1"/>
        <v>390126.6838461234</v>
      </c>
      <c r="D34" s="155">
        <f t="shared" si="2"/>
        <v>163884.18124004654</v>
      </c>
      <c r="E34" s="155">
        <f t="shared" si="3"/>
        <v>226242.50260607686</v>
      </c>
      <c r="F34" s="155">
        <f t="shared" si="4"/>
        <v>1886080.6074383145</v>
      </c>
      <c r="G34" s="155">
        <f t="shared" si="0"/>
        <v>8113919.3925616853</v>
      </c>
      <c r="H34" s="42"/>
      <c r="I34" s="43"/>
      <c r="J34" s="44"/>
      <c r="K34" s="44"/>
      <c r="L34" s="44"/>
      <c r="M34" s="44"/>
      <c r="N34" s="44"/>
    </row>
    <row r="35" spans="1:14">
      <c r="A35" s="42"/>
      <c r="B35" s="47">
        <v>10</v>
      </c>
      <c r="C35" s="155">
        <f t="shared" si="1"/>
        <v>390126.6838461234</v>
      </c>
      <c r="D35" s="155">
        <f t="shared" si="2"/>
        <v>159438.51606383713</v>
      </c>
      <c r="E35" s="155">
        <f t="shared" si="3"/>
        <v>230688.16778228627</v>
      </c>
      <c r="F35" s="155">
        <f t="shared" si="4"/>
        <v>2116768.7752206009</v>
      </c>
      <c r="G35" s="155">
        <f t="shared" si="0"/>
        <v>7883231.2247793991</v>
      </c>
      <c r="H35" s="42"/>
      <c r="I35" s="43"/>
      <c r="J35" s="44"/>
      <c r="K35" s="44"/>
      <c r="L35" s="44"/>
      <c r="M35" s="44"/>
      <c r="N35" s="44"/>
    </row>
    <row r="36" spans="1:14">
      <c r="A36" s="42"/>
      <c r="B36" s="47">
        <v>11</v>
      </c>
      <c r="C36" s="155">
        <f t="shared" si="1"/>
        <v>390126.6838461234</v>
      </c>
      <c r="D36" s="155">
        <f t="shared" si="2"/>
        <v>154905.49356691519</v>
      </c>
      <c r="E36" s="155">
        <f t="shared" si="3"/>
        <v>235221.19027920821</v>
      </c>
      <c r="F36" s="155">
        <f t="shared" si="4"/>
        <v>2351989.965499809</v>
      </c>
      <c r="G36" s="155">
        <f t="shared" si="0"/>
        <v>7648010.034500191</v>
      </c>
      <c r="H36" s="42"/>
      <c r="I36" s="43"/>
      <c r="J36" s="44"/>
      <c r="K36" s="44"/>
      <c r="L36" s="44"/>
      <c r="M36" s="44"/>
      <c r="N36" s="44"/>
    </row>
    <row r="37" spans="1:14">
      <c r="A37" s="42"/>
      <c r="B37" s="141">
        <v>12</v>
      </c>
      <c r="C37" s="156">
        <f>+IF(B37&lt;&gt;"",($D$13*$D$15/12)/(1-(1+($D$15/12))^(-$D$14*12)),"")</f>
        <v>390126.6838461234</v>
      </c>
      <c r="D37" s="156">
        <f t="shared" si="2"/>
        <v>150283.39717792877</v>
      </c>
      <c r="E37" s="156">
        <f t="shared" si="3"/>
        <v>239843.28666819463</v>
      </c>
      <c r="F37" s="156">
        <f t="shared" si="4"/>
        <v>2591833.2521680035</v>
      </c>
      <c r="G37" s="156">
        <f t="shared" si="0"/>
        <v>7408166.7478319965</v>
      </c>
      <c r="H37" s="42"/>
      <c r="I37" s="43"/>
      <c r="J37" s="44"/>
      <c r="K37" s="44"/>
      <c r="L37" s="44"/>
      <c r="M37" s="44"/>
      <c r="N37" s="44"/>
    </row>
    <row r="38" spans="1:14">
      <c r="A38" s="42"/>
      <c r="B38" s="47">
        <f>IF((OR(G37&lt;=0,G37="")),"",B37+1)</f>
        <v>13</v>
      </c>
      <c r="C38" s="155">
        <f t="shared" si="1"/>
        <v>390126.6838461234</v>
      </c>
      <c r="D38" s="155">
        <f t="shared" si="2"/>
        <v>145570.47659489873</v>
      </c>
      <c r="E38" s="155">
        <f t="shared" si="3"/>
        <v>244556.20725122467</v>
      </c>
      <c r="F38" s="155">
        <f t="shared" si="4"/>
        <v>2836389.4594192281</v>
      </c>
      <c r="G38" s="155">
        <f t="shared" si="0"/>
        <v>7163610.5405807719</v>
      </c>
      <c r="H38" s="42"/>
      <c r="I38" s="43"/>
      <c r="J38" s="44"/>
      <c r="K38" s="44"/>
      <c r="L38" s="44"/>
      <c r="M38" s="44"/>
      <c r="N38" s="44"/>
    </row>
    <row r="39" spans="1:14">
      <c r="A39" s="42"/>
      <c r="B39" s="47">
        <f>IF(B38="","",B38+1)</f>
        <v>14</v>
      </c>
      <c r="C39" s="155">
        <f t="shared" si="1"/>
        <v>390126.6838461234</v>
      </c>
      <c r="D39" s="155">
        <f t="shared" si="2"/>
        <v>140764.94712241218</v>
      </c>
      <c r="E39" s="155">
        <f t="shared" si="3"/>
        <v>249361.73672371122</v>
      </c>
      <c r="F39" s="155">
        <f t="shared" si="4"/>
        <v>3085751.1961429394</v>
      </c>
      <c r="G39" s="155">
        <f t="shared" si="0"/>
        <v>6914248.8038570601</v>
      </c>
      <c r="H39" s="42"/>
      <c r="I39" s="43"/>
      <c r="J39" s="44"/>
      <c r="K39" s="44"/>
      <c r="L39" s="44"/>
      <c r="M39" s="44"/>
      <c r="N39" s="44"/>
    </row>
    <row r="40" spans="1:14">
      <c r="A40" s="42"/>
      <c r="B40" s="47">
        <f t="shared" ref="B40:B61" si="5">IF(B39="","",B39+1)</f>
        <v>15</v>
      </c>
      <c r="C40" s="155">
        <f t="shared" si="1"/>
        <v>390126.6838461234</v>
      </c>
      <c r="D40" s="155">
        <f t="shared" si="2"/>
        <v>135864.98899579124</v>
      </c>
      <c r="E40" s="155">
        <f t="shared" si="3"/>
        <v>254261.69485033216</v>
      </c>
      <c r="F40" s="155">
        <f t="shared" si="4"/>
        <v>3340012.8909932715</v>
      </c>
      <c r="G40" s="155">
        <f t="shared" si="0"/>
        <v>6659987.109006729</v>
      </c>
      <c r="H40" s="42"/>
      <c r="I40" s="43"/>
      <c r="J40" s="44"/>
      <c r="K40" s="44"/>
      <c r="L40" s="44"/>
      <c r="M40" s="44"/>
      <c r="N40" s="44"/>
    </row>
    <row r="41" spans="1:14">
      <c r="A41" s="42"/>
      <c r="B41" s="47">
        <f t="shared" si="5"/>
        <v>16</v>
      </c>
      <c r="C41" s="155">
        <f t="shared" si="1"/>
        <v>390126.6838461234</v>
      </c>
      <c r="D41" s="155">
        <f t="shared" si="2"/>
        <v>130868.74669198222</v>
      </c>
      <c r="E41" s="155">
        <f t="shared" si="3"/>
        <v>259257.9371541412</v>
      </c>
      <c r="F41" s="155">
        <f t="shared" si="4"/>
        <v>3599270.8281474127</v>
      </c>
      <c r="G41" s="155">
        <f t="shared" si="0"/>
        <v>6400729.1718525868</v>
      </c>
      <c r="H41" s="42"/>
      <c r="I41" s="43"/>
      <c r="J41" s="44"/>
      <c r="K41" s="44"/>
      <c r="L41" s="44"/>
      <c r="M41" s="44"/>
      <c r="N41" s="44"/>
    </row>
    <row r="42" spans="1:14">
      <c r="A42" s="42"/>
      <c r="B42" s="47">
        <f t="shared" si="5"/>
        <v>17</v>
      </c>
      <c r="C42" s="155">
        <f t="shared" si="1"/>
        <v>390126.6838461234</v>
      </c>
      <c r="D42" s="155">
        <f t="shared" si="2"/>
        <v>125774.32822690334</v>
      </c>
      <c r="E42" s="155">
        <f t="shared" si="3"/>
        <v>264352.35561922006</v>
      </c>
      <c r="F42" s="155">
        <f t="shared" si="4"/>
        <v>3863623.1837666328</v>
      </c>
      <c r="G42" s="155">
        <f t="shared" si="0"/>
        <v>6136376.8162333667</v>
      </c>
      <c r="H42" s="42"/>
      <c r="I42" s="43"/>
      <c r="J42" s="44"/>
      <c r="K42" s="44"/>
      <c r="L42" s="44"/>
      <c r="M42" s="44"/>
      <c r="N42" s="44"/>
    </row>
    <row r="43" spans="1:14">
      <c r="A43" s="42"/>
      <c r="B43" s="47">
        <f t="shared" si="5"/>
        <v>18</v>
      </c>
      <c r="C43" s="155">
        <f t="shared" si="1"/>
        <v>390126.6838461234</v>
      </c>
      <c r="D43" s="155">
        <f t="shared" si="2"/>
        <v>120579.80443898567</v>
      </c>
      <c r="E43" s="155">
        <f t="shared" si="3"/>
        <v>269546.87940713775</v>
      </c>
      <c r="F43" s="155">
        <f t="shared" si="4"/>
        <v>4133170.0631737704</v>
      </c>
      <c r="G43" s="155">
        <f t="shared" si="0"/>
        <v>5866829.9368262291</v>
      </c>
      <c r="H43" s="42"/>
      <c r="I43" s="43"/>
      <c r="J43" s="44"/>
      <c r="K43" s="44"/>
      <c r="L43" s="44"/>
      <c r="M43" s="44"/>
      <c r="N43" s="44"/>
    </row>
    <row r="44" spans="1:14">
      <c r="A44" s="42"/>
      <c r="B44" s="47">
        <f t="shared" si="5"/>
        <v>19</v>
      </c>
      <c r="C44" s="155">
        <f t="shared" si="1"/>
        <v>390126.6838461234</v>
      </c>
      <c r="D44" s="155">
        <f t="shared" si="2"/>
        <v>115283.20825863541</v>
      </c>
      <c r="E44" s="155">
        <f t="shared" si="3"/>
        <v>274843.47558748798</v>
      </c>
      <c r="F44" s="155">
        <f t="shared" si="4"/>
        <v>4408013.5387612581</v>
      </c>
      <c r="G44" s="155">
        <f t="shared" si="0"/>
        <v>5591986.4612387419</v>
      </c>
      <c r="H44" s="42"/>
      <c r="I44" s="43"/>
      <c r="J44" s="44"/>
      <c r="K44" s="44"/>
      <c r="L44" s="44"/>
      <c r="M44" s="44"/>
      <c r="N44" s="44"/>
    </row>
    <row r="45" spans="1:14">
      <c r="A45" s="42"/>
      <c r="B45" s="47">
        <f t="shared" si="5"/>
        <v>20</v>
      </c>
      <c r="C45" s="155">
        <f t="shared" si="1"/>
        <v>390126.6838461234</v>
      </c>
      <c r="D45" s="155">
        <f t="shared" si="2"/>
        <v>109882.53396334128</v>
      </c>
      <c r="E45" s="155">
        <f t="shared" si="3"/>
        <v>280244.14988278213</v>
      </c>
      <c r="F45" s="155">
        <f t="shared" si="4"/>
        <v>4688257.6886440404</v>
      </c>
      <c r="G45" s="155">
        <f t="shared" si="0"/>
        <v>5311742.3113559596</v>
      </c>
      <c r="H45" s="42"/>
      <c r="I45" s="43"/>
      <c r="J45" s="44"/>
      <c r="K45" s="44"/>
      <c r="L45" s="44"/>
      <c r="M45" s="44"/>
      <c r="N45" s="44"/>
    </row>
    <row r="46" spans="1:14">
      <c r="A46" s="42"/>
      <c r="B46" s="47">
        <f t="shared" si="5"/>
        <v>21</v>
      </c>
      <c r="C46" s="155">
        <f t="shared" si="1"/>
        <v>390126.6838461234</v>
      </c>
      <c r="D46" s="155">
        <f t="shared" si="2"/>
        <v>104375.7364181446</v>
      </c>
      <c r="E46" s="155">
        <f t="shared" si="3"/>
        <v>285750.9474279788</v>
      </c>
      <c r="F46" s="155">
        <f t="shared" si="4"/>
        <v>4974008.6360720191</v>
      </c>
      <c r="G46" s="155">
        <f t="shared" si="0"/>
        <v>5025991.3639279809</v>
      </c>
      <c r="H46" s="42"/>
      <c r="I46" s="43"/>
      <c r="J46" s="44"/>
      <c r="K46" s="44"/>
      <c r="L46" s="44"/>
      <c r="M46" s="44"/>
      <c r="N46" s="44"/>
    </row>
    <row r="47" spans="1:14">
      <c r="A47" s="42"/>
      <c r="B47" s="47">
        <f t="shared" si="5"/>
        <v>22</v>
      </c>
      <c r="C47" s="155">
        <f t="shared" si="1"/>
        <v>390126.6838461234</v>
      </c>
      <c r="D47" s="155">
        <f t="shared" si="2"/>
        <v>98760.730301184827</v>
      </c>
      <c r="E47" s="155">
        <f t="shared" si="3"/>
        <v>291365.95354493859</v>
      </c>
      <c r="F47" s="155">
        <f t="shared" si="4"/>
        <v>5265374.5896169581</v>
      </c>
      <c r="G47" s="155">
        <f t="shared" si="0"/>
        <v>4734625.4103830419</v>
      </c>
      <c r="H47" s="42"/>
      <c r="I47" s="43"/>
      <c r="J47" s="44"/>
      <c r="K47" s="44"/>
      <c r="L47" s="44"/>
      <c r="M47" s="44"/>
      <c r="N47" s="44"/>
    </row>
    <row r="48" spans="1:14">
      <c r="A48" s="42"/>
      <c r="B48" s="47">
        <f t="shared" si="5"/>
        <v>23</v>
      </c>
      <c r="C48" s="155">
        <f t="shared" si="1"/>
        <v>390126.6838461234</v>
      </c>
      <c r="D48" s="155">
        <f t="shared" si="2"/>
        <v>93035.38931402679</v>
      </c>
      <c r="E48" s="155">
        <f t="shared" si="3"/>
        <v>297091.2945320966</v>
      </c>
      <c r="F48" s="155">
        <f t="shared" si="4"/>
        <v>5562465.884149055</v>
      </c>
      <c r="G48" s="155">
        <f t="shared" si="0"/>
        <v>4437534.115850945</v>
      </c>
      <c r="H48" s="42"/>
      <c r="I48" s="43"/>
      <c r="J48" s="44"/>
      <c r="K48" s="44"/>
      <c r="L48" s="44"/>
      <c r="M48" s="44"/>
      <c r="N48" s="44"/>
    </row>
    <row r="49" spans="1:14">
      <c r="A49" s="42"/>
      <c r="B49" s="141">
        <f t="shared" si="5"/>
        <v>24</v>
      </c>
      <c r="C49" s="156">
        <f t="shared" si="1"/>
        <v>390126.6838461234</v>
      </c>
      <c r="D49" s="156">
        <f t="shared" si="2"/>
        <v>87197.545376471069</v>
      </c>
      <c r="E49" s="156">
        <f t="shared" si="3"/>
        <v>302929.13846965233</v>
      </c>
      <c r="F49" s="156">
        <f t="shared" si="4"/>
        <v>5865395.0226187073</v>
      </c>
      <c r="G49" s="156">
        <f t="shared" si="0"/>
        <v>4134604.9773812927</v>
      </c>
      <c r="H49" s="42"/>
      <c r="I49" s="43"/>
      <c r="J49" s="44"/>
      <c r="K49" s="44"/>
      <c r="L49" s="44"/>
      <c r="M49" s="44"/>
      <c r="N49" s="44"/>
    </row>
    <row r="50" spans="1:14">
      <c r="A50" s="42"/>
      <c r="B50" s="47">
        <f>IF((OR(G49&lt;=0,G49="")),"",B49+1)</f>
        <v>25</v>
      </c>
      <c r="C50" s="155">
        <f t="shared" si="1"/>
        <v>390126.6838461234</v>
      </c>
      <c r="D50" s="155">
        <f t="shared" si="2"/>
        <v>81244.987805542405</v>
      </c>
      <c r="E50" s="155">
        <f t="shared" si="3"/>
        <v>308881.69604058098</v>
      </c>
      <c r="F50" s="155">
        <f t="shared" si="4"/>
        <v>6174276.7186592882</v>
      </c>
      <c r="G50" s="155">
        <f t="shared" si="0"/>
        <v>3825723.2813407118</v>
      </c>
      <c r="H50" s="42"/>
      <c r="I50" s="43"/>
      <c r="J50" s="44"/>
      <c r="K50" s="44"/>
      <c r="L50" s="44"/>
      <c r="M50" s="44"/>
      <c r="N50" s="44"/>
    </row>
    <row r="51" spans="1:14">
      <c r="A51" s="42"/>
      <c r="B51" s="47">
        <f t="shared" si="5"/>
        <v>26</v>
      </c>
      <c r="C51" s="155">
        <f t="shared" si="1"/>
        <v>390126.6838461234</v>
      </c>
      <c r="D51" s="155">
        <f t="shared" si="2"/>
        <v>75175.462478344984</v>
      </c>
      <c r="E51" s="155">
        <f t="shared" si="3"/>
        <v>314951.22136777843</v>
      </c>
      <c r="F51" s="155">
        <f t="shared" si="4"/>
        <v>6489227.9400270665</v>
      </c>
      <c r="G51" s="155">
        <f t="shared" si="0"/>
        <v>3510772.0599729335</v>
      </c>
      <c r="H51" s="42"/>
      <c r="I51" s="43"/>
      <c r="J51" s="44"/>
      <c r="K51" s="44"/>
      <c r="L51" s="44"/>
      <c r="M51" s="44"/>
      <c r="N51" s="44"/>
    </row>
    <row r="52" spans="1:14">
      <c r="A52" s="42"/>
      <c r="B52" s="47">
        <f t="shared" si="5"/>
        <v>27</v>
      </c>
      <c r="C52" s="155">
        <f t="shared" si="1"/>
        <v>390126.6838461234</v>
      </c>
      <c r="D52" s="155">
        <f t="shared" si="2"/>
        <v>68986.670978468144</v>
      </c>
      <c r="E52" s="155">
        <f t="shared" si="3"/>
        <v>321140.01286765526</v>
      </c>
      <c r="F52" s="155">
        <f t="shared" si="4"/>
        <v>6810367.9528947221</v>
      </c>
      <c r="G52" s="155">
        <f t="shared" si="0"/>
        <v>3189632.0471052779</v>
      </c>
      <c r="H52" s="42"/>
      <c r="I52" s="43"/>
      <c r="J52" s="44"/>
      <c r="K52" s="44"/>
      <c r="L52" s="44"/>
      <c r="M52" s="44"/>
      <c r="N52" s="44"/>
    </row>
    <row r="53" spans="1:14">
      <c r="A53" s="42"/>
      <c r="B53" s="47">
        <f t="shared" si="5"/>
        <v>28</v>
      </c>
      <c r="C53" s="155">
        <f t="shared" si="1"/>
        <v>390126.6838461234</v>
      </c>
      <c r="D53" s="155">
        <f t="shared" si="2"/>
        <v>62676.269725618709</v>
      </c>
      <c r="E53" s="155">
        <f t="shared" si="3"/>
        <v>327450.41412050469</v>
      </c>
      <c r="F53" s="155">
        <f t="shared" si="4"/>
        <v>7137818.3670152267</v>
      </c>
      <c r="G53" s="155">
        <f t="shared" si="0"/>
        <v>2862181.6329847733</v>
      </c>
      <c r="H53" s="42"/>
      <c r="I53" s="43"/>
      <c r="J53" s="44"/>
      <c r="K53" s="44"/>
      <c r="L53" s="44"/>
      <c r="M53" s="44"/>
      <c r="N53" s="44"/>
    </row>
    <row r="54" spans="1:14">
      <c r="A54" s="42"/>
      <c r="B54" s="47">
        <f t="shared" si="5"/>
        <v>29</v>
      </c>
      <c r="C54" s="155">
        <f t="shared" si="1"/>
        <v>390126.6838461234</v>
      </c>
      <c r="D54" s="155">
        <f t="shared" si="2"/>
        <v>56241.869088150794</v>
      </c>
      <c r="E54" s="155">
        <f t="shared" si="3"/>
        <v>333884.81475797261</v>
      </c>
      <c r="F54" s="155">
        <f t="shared" si="4"/>
        <v>7471703.1817731997</v>
      </c>
      <c r="G54" s="155">
        <f t="shared" si="0"/>
        <v>2528296.8182268003</v>
      </c>
      <c r="H54" s="42"/>
      <c r="I54" s="43"/>
      <c r="J54" s="44"/>
      <c r="K54" s="44"/>
      <c r="L54" s="44"/>
      <c r="M54" s="44"/>
      <c r="N54" s="44"/>
    </row>
    <row r="55" spans="1:14">
      <c r="A55" s="42"/>
      <c r="B55" s="47">
        <f t="shared" si="5"/>
        <v>30</v>
      </c>
      <c r="C55" s="155">
        <f t="shared" si="1"/>
        <v>390126.6838461234</v>
      </c>
      <c r="D55" s="155">
        <f t="shared" si="2"/>
        <v>49681.032478156623</v>
      </c>
      <c r="E55" s="155">
        <f t="shared" si="3"/>
        <v>340445.65136796678</v>
      </c>
      <c r="F55" s="155">
        <f t="shared" si="4"/>
        <v>7812148.8331411667</v>
      </c>
      <c r="G55" s="155">
        <f t="shared" si="0"/>
        <v>2187851.1668588333</v>
      </c>
      <c r="H55" s="42"/>
      <c r="I55" s="43"/>
      <c r="J55" s="44"/>
      <c r="K55" s="44"/>
      <c r="L55" s="44"/>
      <c r="M55" s="44"/>
      <c r="N55" s="44"/>
    </row>
    <row r="56" spans="1:14">
      <c r="A56" s="42"/>
      <c r="B56" s="47">
        <f t="shared" si="5"/>
        <v>31</v>
      </c>
      <c r="C56" s="155">
        <f t="shared" si="1"/>
        <v>390126.6838461234</v>
      </c>
      <c r="D56" s="155">
        <f t="shared" si="2"/>
        <v>42991.275428776076</v>
      </c>
      <c r="E56" s="155">
        <f t="shared" si="3"/>
        <v>347135.40841734735</v>
      </c>
      <c r="F56" s="155">
        <f t="shared" si="4"/>
        <v>8159284.2415585145</v>
      </c>
      <c r="G56" s="155">
        <f t="shared" si="0"/>
        <v>1840715.7584414855</v>
      </c>
      <c r="H56" s="42"/>
      <c r="I56" s="43"/>
      <c r="J56" s="44"/>
      <c r="K56" s="44"/>
      <c r="L56" s="44"/>
      <c r="M56" s="44"/>
      <c r="N56" s="44"/>
    </row>
    <row r="57" spans="1:14">
      <c r="A57" s="42"/>
      <c r="B57" s="47">
        <f t="shared" si="5"/>
        <v>32</v>
      </c>
      <c r="C57" s="155">
        <f t="shared" si="1"/>
        <v>390126.6838461234</v>
      </c>
      <c r="D57" s="155">
        <f t="shared" si="2"/>
        <v>36170.064653375193</v>
      </c>
      <c r="E57" s="155">
        <f t="shared" si="3"/>
        <v>353956.61919274821</v>
      </c>
      <c r="F57" s="155">
        <f t="shared" si="4"/>
        <v>8513240.8607512619</v>
      </c>
      <c r="G57" s="155">
        <f t="shared" si="0"/>
        <v>1486759.1392487381</v>
      </c>
      <c r="H57" s="42"/>
      <c r="I57" s="43"/>
      <c r="J57" s="44"/>
      <c r="K57" s="44"/>
      <c r="L57" s="44"/>
      <c r="M57" s="44"/>
      <c r="N57" s="44"/>
    </row>
    <row r="58" spans="1:14">
      <c r="A58" s="42"/>
      <c r="B58" s="47">
        <f t="shared" si="5"/>
        <v>33</v>
      </c>
      <c r="C58" s="155">
        <f t="shared" si="1"/>
        <v>390126.6838461234</v>
      </c>
      <c r="D58" s="155">
        <f t="shared" si="2"/>
        <v>29214.817086237705</v>
      </c>
      <c r="E58" s="155">
        <f t="shared" si="3"/>
        <v>360911.86675988568</v>
      </c>
      <c r="F58" s="155">
        <f t="shared" si="4"/>
        <v>8874152.727511147</v>
      </c>
      <c r="G58" s="155">
        <f t="shared" si="0"/>
        <v>1125847.272488853</v>
      </c>
      <c r="H58" s="42"/>
      <c r="I58" s="43"/>
      <c r="J58" s="44"/>
      <c r="K58" s="44"/>
      <c r="L58" s="44"/>
      <c r="M58" s="44"/>
      <c r="N58" s="44"/>
    </row>
    <row r="59" spans="1:14">
      <c r="A59" s="42"/>
      <c r="B59" s="47">
        <f t="shared" si="5"/>
        <v>34</v>
      </c>
      <c r="C59" s="155">
        <f t="shared" si="1"/>
        <v>390126.6838461234</v>
      </c>
      <c r="D59" s="155">
        <f t="shared" si="2"/>
        <v>22122.89890440596</v>
      </c>
      <c r="E59" s="155">
        <f t="shared" si="3"/>
        <v>368003.78494171746</v>
      </c>
      <c r="F59" s="155">
        <f t="shared" si="4"/>
        <v>9242156.512452865</v>
      </c>
      <c r="G59" s="155">
        <f t="shared" si="0"/>
        <v>757843.48754713498</v>
      </c>
      <c r="H59" s="42"/>
      <c r="I59" s="43"/>
      <c r="J59" s="44"/>
      <c r="K59" s="44"/>
      <c r="L59" s="44"/>
      <c r="M59" s="44"/>
      <c r="N59" s="44"/>
    </row>
    <row r="60" spans="1:14">
      <c r="A60" s="42"/>
      <c r="B60" s="47">
        <f t="shared" si="5"/>
        <v>35</v>
      </c>
      <c r="C60" s="155">
        <f t="shared" si="1"/>
        <v>390126.6838461234</v>
      </c>
      <c r="D60" s="155">
        <f t="shared" si="2"/>
        <v>14891.624530301204</v>
      </c>
      <c r="E60" s="155">
        <f t="shared" si="3"/>
        <v>375235.0593158222</v>
      </c>
      <c r="F60" s="155">
        <f t="shared" si="4"/>
        <v>9617391.571768688</v>
      </c>
      <c r="G60" s="155">
        <f t="shared" si="0"/>
        <v>382608.42823131196</v>
      </c>
      <c r="H60" s="42"/>
      <c r="I60" s="43"/>
      <c r="J60" s="44"/>
      <c r="K60" s="44"/>
      <c r="L60" s="44"/>
      <c r="M60" s="44"/>
      <c r="N60" s="44"/>
    </row>
    <row r="61" spans="1:14" ht="15" customHeight="1">
      <c r="A61" s="42"/>
      <c r="B61" s="141">
        <f t="shared" si="5"/>
        <v>36</v>
      </c>
      <c r="C61" s="156">
        <f t="shared" si="1"/>
        <v>390126.6838461234</v>
      </c>
      <c r="D61" s="156">
        <f t="shared" si="2"/>
        <v>7518.2556147452806</v>
      </c>
      <c r="E61" s="156">
        <f t="shared" si="3"/>
        <v>382608.42823137814</v>
      </c>
      <c r="F61" s="156">
        <f t="shared" si="4"/>
        <v>10000000.000000067</v>
      </c>
      <c r="G61" s="156">
        <f t="shared" si="0"/>
        <v>-6.7055225372314453E-8</v>
      </c>
      <c r="H61" s="305" t="s">
        <v>249</v>
      </c>
      <c r="I61" s="306"/>
      <c r="J61" s="306"/>
      <c r="K61" s="306"/>
      <c r="L61" s="306"/>
      <c r="M61" s="306"/>
      <c r="N61" s="44"/>
    </row>
    <row r="67" spans="2:9" ht="24" thickBot="1">
      <c r="B67" s="279" t="s">
        <v>307</v>
      </c>
      <c r="C67" s="279"/>
      <c r="D67" s="279"/>
      <c r="E67" s="279"/>
      <c r="F67" s="279"/>
      <c r="G67" s="279"/>
      <c r="H67" s="279"/>
      <c r="I67" s="279"/>
    </row>
    <row r="68" spans="2:9" ht="48" customHeight="1" thickBot="1">
      <c r="B68" s="291" t="s">
        <v>316</v>
      </c>
      <c r="C68" s="292"/>
      <c r="D68" s="292"/>
      <c r="E68" s="292"/>
      <c r="F68" s="292"/>
      <c r="G68" s="292"/>
      <c r="H68" s="292"/>
      <c r="I68" s="293"/>
    </row>
    <row r="69" spans="2:9" ht="124.95" customHeight="1" thickBot="1">
      <c r="B69" s="283"/>
      <c r="C69" s="284"/>
      <c r="D69" s="284"/>
      <c r="E69" s="284"/>
      <c r="F69" s="284"/>
      <c r="G69" s="284"/>
      <c r="H69" s="284"/>
      <c r="I69" s="285"/>
    </row>
  </sheetData>
  <protectedRanges>
    <protectedRange sqref="M16" name="Rango10"/>
    <protectedRange sqref="M15" name="Rango9"/>
    <protectedRange sqref="M14" name="Rango8"/>
    <protectedRange sqref="M13" name="Rango7"/>
    <protectedRange sqref="D16" name="Rango6"/>
    <protectedRange sqref="D15" name="Rango5"/>
    <protectedRange sqref="D14" name="Rango4"/>
    <protectedRange sqref="D13" name="Rango3"/>
    <protectedRange sqref="C8:F9" name="fin1"/>
  </protectedRanges>
  <mergeCells count="17">
    <mergeCell ref="B16:C16"/>
    <mergeCell ref="B67:I67"/>
    <mergeCell ref="B68:I68"/>
    <mergeCell ref="B69:I69"/>
    <mergeCell ref="E2:G2"/>
    <mergeCell ref="G10:N10"/>
    <mergeCell ref="E24:E25"/>
    <mergeCell ref="F24:F25"/>
    <mergeCell ref="G24:G25"/>
    <mergeCell ref="H61:M61"/>
    <mergeCell ref="B12:D12"/>
    <mergeCell ref="C24:C25"/>
    <mergeCell ref="D24:D25"/>
    <mergeCell ref="B24:B25"/>
    <mergeCell ref="B13:C13"/>
    <mergeCell ref="B14:C14"/>
    <mergeCell ref="B15:C15"/>
  </mergeCells>
  <conditionalFormatting sqref="G10:N10">
    <cfRule type="containsBlanks" dxfId="2" priority="2">
      <formula>LEN(TRIM(G10))=0</formula>
    </cfRule>
  </conditionalFormatting>
  <pageMargins left="0.7" right="0.7" top="0.75" bottom="0.75" header="0.3" footer="0.3"/>
  <ignoredErrors>
    <ignoredError sqref="C19:E22" unlockedFormula="1"/>
    <ignoredError sqref="B50" formula="1"/>
  </ignoredErrors>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tabColor rgb="FF92D050"/>
  </sheetPr>
  <dimension ref="B3:O37"/>
  <sheetViews>
    <sheetView topLeftCell="A15" zoomScaleNormal="100" workbookViewId="0">
      <selection activeCell="B35" sqref="B35:I37"/>
    </sheetView>
  </sheetViews>
  <sheetFormatPr baseColWidth="10" defaultRowHeight="13.8"/>
  <cols>
    <col min="1" max="1" width="4.44140625" style="1" customWidth="1"/>
    <col min="2" max="2" width="20.109375" style="1" customWidth="1"/>
    <col min="3" max="3" width="15" style="1" customWidth="1"/>
    <col min="4" max="4" width="14" style="1" customWidth="1"/>
    <col min="5" max="5" width="14.44140625" style="1" customWidth="1"/>
    <col min="6" max="7" width="15.44140625" style="1" bestFit="1" customWidth="1"/>
    <col min="8" max="8" width="9.109375" style="1" bestFit="1" customWidth="1"/>
    <col min="9" max="254" width="11.44140625" style="1"/>
    <col min="255" max="255" width="4.44140625" style="1" customWidth="1"/>
    <col min="256" max="510" width="11.44140625" style="1"/>
    <col min="511" max="511" width="4.44140625" style="1" customWidth="1"/>
    <col min="512" max="766" width="11.44140625" style="1"/>
    <col min="767" max="767" width="4.44140625" style="1" customWidth="1"/>
    <col min="768" max="1022" width="11.44140625" style="1"/>
    <col min="1023" max="1023" width="4.44140625" style="1" customWidth="1"/>
    <col min="1024" max="1278" width="11.44140625" style="1"/>
    <col min="1279" max="1279" width="4.44140625" style="1" customWidth="1"/>
    <col min="1280" max="1534" width="11.44140625" style="1"/>
    <col min="1535" max="1535" width="4.44140625" style="1" customWidth="1"/>
    <col min="1536" max="1790" width="11.44140625" style="1"/>
    <col min="1791" max="1791" width="4.44140625" style="1" customWidth="1"/>
    <col min="1792" max="2046" width="11.44140625" style="1"/>
    <col min="2047" max="2047" width="4.44140625" style="1" customWidth="1"/>
    <col min="2048" max="2302" width="11.44140625" style="1"/>
    <col min="2303" max="2303" width="4.44140625" style="1" customWidth="1"/>
    <col min="2304" max="2558" width="11.44140625" style="1"/>
    <col min="2559" max="2559" width="4.44140625" style="1" customWidth="1"/>
    <col min="2560" max="2814" width="11.44140625" style="1"/>
    <col min="2815" max="2815" width="4.44140625" style="1" customWidth="1"/>
    <col min="2816" max="3070" width="11.44140625" style="1"/>
    <col min="3071" max="3071" width="4.44140625" style="1" customWidth="1"/>
    <col min="3072" max="3326" width="11.44140625" style="1"/>
    <col min="3327" max="3327" width="4.44140625" style="1" customWidth="1"/>
    <col min="3328" max="3582" width="11.44140625" style="1"/>
    <col min="3583" max="3583" width="4.44140625" style="1" customWidth="1"/>
    <col min="3584" max="3838" width="11.44140625" style="1"/>
    <col min="3839" max="3839" width="4.44140625" style="1" customWidth="1"/>
    <col min="3840" max="4094" width="11.44140625" style="1"/>
    <col min="4095" max="4095" width="4.44140625" style="1" customWidth="1"/>
    <col min="4096" max="4350" width="11.44140625" style="1"/>
    <col min="4351" max="4351" width="4.44140625" style="1" customWidth="1"/>
    <col min="4352" max="4606" width="11.44140625" style="1"/>
    <col min="4607" max="4607" width="4.44140625" style="1" customWidth="1"/>
    <col min="4608" max="4862" width="11.44140625" style="1"/>
    <col min="4863" max="4863" width="4.44140625" style="1" customWidth="1"/>
    <col min="4864" max="5118" width="11.44140625" style="1"/>
    <col min="5119" max="5119" width="4.44140625" style="1" customWidth="1"/>
    <col min="5120" max="5374" width="11.44140625" style="1"/>
    <col min="5375" max="5375" width="4.44140625" style="1" customWidth="1"/>
    <col min="5376" max="5630" width="11.44140625" style="1"/>
    <col min="5631" max="5631" width="4.44140625" style="1" customWidth="1"/>
    <col min="5632" max="5886" width="11.44140625" style="1"/>
    <col min="5887" max="5887" width="4.44140625" style="1" customWidth="1"/>
    <col min="5888" max="6142" width="11.44140625" style="1"/>
    <col min="6143" max="6143" width="4.44140625" style="1" customWidth="1"/>
    <col min="6144" max="6398" width="11.44140625" style="1"/>
    <col min="6399" max="6399" width="4.44140625" style="1" customWidth="1"/>
    <col min="6400" max="6654" width="11.44140625" style="1"/>
    <col min="6655" max="6655" width="4.44140625" style="1" customWidth="1"/>
    <col min="6656" max="6910" width="11.44140625" style="1"/>
    <col min="6911" max="6911" width="4.44140625" style="1" customWidth="1"/>
    <col min="6912" max="7166" width="11.44140625" style="1"/>
    <col min="7167" max="7167" width="4.44140625" style="1" customWidth="1"/>
    <col min="7168" max="7422" width="11.44140625" style="1"/>
    <col min="7423" max="7423" width="4.44140625" style="1" customWidth="1"/>
    <col min="7424" max="7678" width="11.44140625" style="1"/>
    <col min="7679" max="7679" width="4.44140625" style="1" customWidth="1"/>
    <col min="7680" max="7934" width="11.44140625" style="1"/>
    <col min="7935" max="7935" width="4.44140625" style="1" customWidth="1"/>
    <col min="7936" max="8190" width="11.44140625" style="1"/>
    <col min="8191" max="8191" width="4.44140625" style="1" customWidth="1"/>
    <col min="8192" max="8446" width="11.44140625" style="1"/>
    <col min="8447" max="8447" width="4.44140625" style="1" customWidth="1"/>
    <col min="8448" max="8702" width="11.44140625" style="1"/>
    <col min="8703" max="8703" width="4.44140625" style="1" customWidth="1"/>
    <col min="8704" max="8958" width="11.44140625" style="1"/>
    <col min="8959" max="8959" width="4.44140625" style="1" customWidth="1"/>
    <col min="8960" max="9214" width="11.44140625" style="1"/>
    <col min="9215" max="9215" width="4.44140625" style="1" customWidth="1"/>
    <col min="9216" max="9470" width="11.44140625" style="1"/>
    <col min="9471" max="9471" width="4.44140625" style="1" customWidth="1"/>
    <col min="9472" max="9726" width="11.44140625" style="1"/>
    <col min="9727" max="9727" width="4.44140625" style="1" customWidth="1"/>
    <col min="9728" max="9982" width="11.44140625" style="1"/>
    <col min="9983" max="9983" width="4.44140625" style="1" customWidth="1"/>
    <col min="9984" max="10238" width="11.44140625" style="1"/>
    <col min="10239" max="10239" width="4.44140625" style="1" customWidth="1"/>
    <col min="10240" max="10494" width="11.44140625" style="1"/>
    <col min="10495" max="10495" width="4.44140625" style="1" customWidth="1"/>
    <col min="10496" max="10750" width="11.44140625" style="1"/>
    <col min="10751" max="10751" width="4.44140625" style="1" customWidth="1"/>
    <col min="10752" max="11006" width="11.44140625" style="1"/>
    <col min="11007" max="11007" width="4.44140625" style="1" customWidth="1"/>
    <col min="11008" max="11262" width="11.44140625" style="1"/>
    <col min="11263" max="11263" width="4.44140625" style="1" customWidth="1"/>
    <col min="11264" max="11518" width="11.44140625" style="1"/>
    <col min="11519" max="11519" width="4.44140625" style="1" customWidth="1"/>
    <col min="11520" max="11774" width="11.44140625" style="1"/>
    <col min="11775" max="11775" width="4.44140625" style="1" customWidth="1"/>
    <col min="11776" max="12030" width="11.44140625" style="1"/>
    <col min="12031" max="12031" width="4.44140625" style="1" customWidth="1"/>
    <col min="12032" max="12286" width="11.44140625" style="1"/>
    <col min="12287" max="12287" width="4.44140625" style="1" customWidth="1"/>
    <col min="12288" max="12542" width="11.44140625" style="1"/>
    <col min="12543" max="12543" width="4.44140625" style="1" customWidth="1"/>
    <col min="12544" max="12798" width="11.44140625" style="1"/>
    <col min="12799" max="12799" width="4.44140625" style="1" customWidth="1"/>
    <col min="12800" max="13054" width="11.44140625" style="1"/>
    <col min="13055" max="13055" width="4.44140625" style="1" customWidth="1"/>
    <col min="13056" max="13310" width="11.44140625" style="1"/>
    <col min="13311" max="13311" width="4.44140625" style="1" customWidth="1"/>
    <col min="13312" max="13566" width="11.44140625" style="1"/>
    <col min="13567" max="13567" width="4.44140625" style="1" customWidth="1"/>
    <col min="13568" max="13822" width="11.44140625" style="1"/>
    <col min="13823" max="13823" width="4.44140625" style="1" customWidth="1"/>
    <col min="13824" max="14078" width="11.44140625" style="1"/>
    <col min="14079" max="14079" width="4.44140625" style="1" customWidth="1"/>
    <col min="14080" max="14334" width="11.44140625" style="1"/>
    <col min="14335" max="14335" width="4.44140625" style="1" customWidth="1"/>
    <col min="14336" max="14590" width="11.44140625" style="1"/>
    <col min="14591" max="14591" width="4.44140625" style="1" customWidth="1"/>
    <col min="14592" max="14846" width="11.44140625" style="1"/>
    <col min="14847" max="14847" width="4.44140625" style="1" customWidth="1"/>
    <col min="14848" max="15102" width="11.44140625" style="1"/>
    <col min="15103" max="15103" width="4.44140625" style="1" customWidth="1"/>
    <col min="15104" max="15358" width="11.44140625" style="1"/>
    <col min="15359" max="15359" width="4.44140625" style="1" customWidth="1"/>
    <col min="15360" max="15614" width="11.44140625" style="1"/>
    <col min="15615" max="15615" width="4.44140625" style="1" customWidth="1"/>
    <col min="15616" max="15870" width="11.44140625" style="1"/>
    <col min="15871" max="15871" width="4.44140625" style="1" customWidth="1"/>
    <col min="15872" max="16126" width="11.44140625" style="1"/>
    <col min="16127" max="16127" width="4.44140625" style="1" customWidth="1"/>
    <col min="16128" max="16384" width="11.44140625" style="1"/>
  </cols>
  <sheetData>
    <row r="3" spans="2:15" ht="18">
      <c r="E3" s="300" t="s">
        <v>100</v>
      </c>
      <c r="F3" s="300"/>
      <c r="G3" s="300"/>
      <c r="H3" s="300"/>
      <c r="I3" s="300"/>
    </row>
    <row r="5" spans="2:15" ht="15.6">
      <c r="B5" s="312" t="s">
        <v>139</v>
      </c>
      <c r="C5" s="312"/>
      <c r="D5" s="312"/>
      <c r="E5" s="312"/>
      <c r="F5" s="312"/>
      <c r="G5" s="81"/>
      <c r="H5" s="81"/>
      <c r="I5" s="81"/>
    </row>
    <row r="6" spans="2:15" ht="26.4">
      <c r="B6" s="135" t="s">
        <v>64</v>
      </c>
      <c r="C6" s="79" t="s">
        <v>153</v>
      </c>
      <c r="D6" s="79" t="s">
        <v>154</v>
      </c>
      <c r="E6" s="79" t="s">
        <v>186</v>
      </c>
      <c r="F6" s="135" t="s">
        <v>263</v>
      </c>
      <c r="G6" s="135" t="s">
        <v>262</v>
      </c>
      <c r="H6" s="82"/>
      <c r="I6" s="82"/>
      <c r="O6" s="40"/>
    </row>
    <row r="7" spans="2:15" ht="15" customHeight="1">
      <c r="B7" s="15" t="s">
        <v>184</v>
      </c>
      <c r="C7" s="83">
        <v>0.1</v>
      </c>
      <c r="D7" s="83">
        <v>0.15</v>
      </c>
      <c r="E7" s="83">
        <v>0.2</v>
      </c>
      <c r="F7" s="84">
        <f>SUM(C7:E7)</f>
        <v>0.45</v>
      </c>
      <c r="G7" s="238">
        <f>F7*Ventas!C7</f>
        <v>67500</v>
      </c>
      <c r="H7" s="85"/>
      <c r="I7" s="85"/>
      <c r="O7" s="40"/>
    </row>
    <row r="8" spans="2:15">
      <c r="B8" s="15" t="s">
        <v>183</v>
      </c>
      <c r="C8" s="83">
        <v>0.05</v>
      </c>
      <c r="D8" s="83">
        <v>0.12</v>
      </c>
      <c r="E8" s="83">
        <v>0.1</v>
      </c>
      <c r="F8" s="84">
        <f>SUM(C8:E8)</f>
        <v>0.27</v>
      </c>
      <c r="G8" s="238">
        <f>F8*Ventas!C8</f>
        <v>45900</v>
      </c>
      <c r="H8" s="85"/>
      <c r="I8" s="85"/>
      <c r="O8" s="40"/>
    </row>
    <row r="9" spans="2:15">
      <c r="B9" s="15" t="s">
        <v>185</v>
      </c>
      <c r="C9" s="83">
        <v>0.02</v>
      </c>
      <c r="D9" s="83">
        <v>0.08</v>
      </c>
      <c r="E9" s="83">
        <v>0.09</v>
      </c>
      <c r="F9" s="84">
        <f>SUM(C9:E9)</f>
        <v>0.19</v>
      </c>
      <c r="G9" s="238">
        <f>F9*Ventas!C9</f>
        <v>22800</v>
      </c>
      <c r="H9" s="86"/>
      <c r="I9" s="86"/>
      <c r="O9" s="40"/>
    </row>
    <row r="10" spans="2:15">
      <c r="B10" s="15" t="s">
        <v>162</v>
      </c>
      <c r="C10" s="83">
        <v>0.01</v>
      </c>
      <c r="D10" s="83">
        <v>0.08</v>
      </c>
      <c r="E10" s="83">
        <v>0.1</v>
      </c>
      <c r="F10" s="84">
        <f>SUM(C10:E10)</f>
        <v>0.19</v>
      </c>
      <c r="G10" s="238">
        <f>F10*Ventas!C10</f>
        <v>20900</v>
      </c>
      <c r="H10" s="86"/>
      <c r="I10" s="86"/>
      <c r="O10" s="40"/>
    </row>
    <row r="11" spans="2:15">
      <c r="I11" s="40"/>
    </row>
    <row r="12" spans="2:15" ht="18.75" customHeight="1">
      <c r="B12" s="313" t="s">
        <v>140</v>
      </c>
      <c r="C12" s="313"/>
      <c r="D12" s="313"/>
      <c r="E12" s="313"/>
      <c r="F12" s="313"/>
      <c r="G12" s="313"/>
      <c r="H12" s="313"/>
    </row>
    <row r="13" spans="2:15" ht="26.4">
      <c r="B13" s="138"/>
      <c r="C13" s="135" t="str">
        <f>+B7</f>
        <v>Producto / Servicio 1</v>
      </c>
      <c r="D13" s="136" t="str">
        <f>+B8</f>
        <v>Producto / Servicio 2</v>
      </c>
      <c r="E13" s="135" t="str">
        <f>+B9</f>
        <v>Producto / Servicio 3</v>
      </c>
      <c r="F13" s="136" t="str">
        <f>+B10</f>
        <v>Producto / Servicio 4</v>
      </c>
      <c r="G13" s="135" t="s">
        <v>6</v>
      </c>
      <c r="H13" s="135" t="s">
        <v>85</v>
      </c>
    </row>
    <row r="14" spans="2:15">
      <c r="B14" s="137" t="s">
        <v>70</v>
      </c>
      <c r="C14" s="228">
        <f>Ventas!J14*$F$7</f>
        <v>67500000</v>
      </c>
      <c r="D14" s="228">
        <f>Ventas!K14*$F$8</f>
        <v>36720000</v>
      </c>
      <c r="E14" s="228">
        <f>Ventas!L14*'Costos Variables'!$F$9</f>
        <v>13680000</v>
      </c>
      <c r="F14" s="228">
        <f>Ventas!M14*'Costos Variables'!$F$10</f>
        <v>20900000</v>
      </c>
      <c r="G14" s="228">
        <f t="shared" ref="G14:G28" si="0">SUM(C14:F14)</f>
        <v>138800000</v>
      </c>
      <c r="H14" s="87">
        <f>IF(Ventas!N14=0,"",G14/Ventas!N14)</f>
        <v>0.29658119658119658</v>
      </c>
    </row>
    <row r="15" spans="2:15">
      <c r="B15" s="137" t="s">
        <v>71</v>
      </c>
      <c r="C15" s="228">
        <f>Ventas!J15*$F$7</f>
        <v>54000000</v>
      </c>
      <c r="D15" s="228">
        <f>Ventas!K15*$F$8</f>
        <v>32130000.000000004</v>
      </c>
      <c r="E15" s="228">
        <f>Ventas!L15*'Costos Variables'!$F$9</f>
        <v>11400000</v>
      </c>
      <c r="F15" s="228">
        <f>Ventas!M15*'Costos Variables'!$F$10</f>
        <v>4180000</v>
      </c>
      <c r="G15" s="228">
        <f t="shared" si="0"/>
        <v>101710000</v>
      </c>
      <c r="H15" s="87">
        <f>IF(Ventas!N15=0,"",G15/Ventas!N15)</f>
        <v>0.31685358255451712</v>
      </c>
    </row>
    <row r="16" spans="2:15">
      <c r="B16" s="137" t="s">
        <v>72</v>
      </c>
      <c r="C16" s="228">
        <f>Ventas!J16*$F$7</f>
        <v>47250000</v>
      </c>
      <c r="D16" s="228">
        <f>Ventas!K16*$F$8</f>
        <v>27540000</v>
      </c>
      <c r="E16" s="228">
        <f>Ventas!L16*'Costos Variables'!$F$9</f>
        <v>9120000</v>
      </c>
      <c r="F16" s="228">
        <f>Ventas!M16*'Costos Variables'!$F$10</f>
        <v>2090000</v>
      </c>
      <c r="G16" s="228">
        <f t="shared" si="0"/>
        <v>86000000</v>
      </c>
      <c r="H16" s="87">
        <f>IF(Ventas!N16=0,"",G16/Ventas!N16)</f>
        <v>0.32330827067669171</v>
      </c>
    </row>
    <row r="17" spans="2:8">
      <c r="B17" s="137" t="s">
        <v>73</v>
      </c>
      <c r="C17" s="228">
        <f>Ventas!J17*$F$7</f>
        <v>40500000</v>
      </c>
      <c r="D17" s="228">
        <f>Ventas!K17*$F$8</f>
        <v>22950000</v>
      </c>
      <c r="E17" s="228">
        <f>Ventas!L17*'Costos Variables'!$F$9</f>
        <v>15960000</v>
      </c>
      <c r="F17" s="228">
        <f>Ventas!M17*'Costos Variables'!$F$10</f>
        <v>62700000</v>
      </c>
      <c r="G17" s="228">
        <f t="shared" si="0"/>
        <v>142110000</v>
      </c>
      <c r="H17" s="87">
        <f>IF(Ventas!N17=0,"",G17/Ventas!N17)</f>
        <v>0.24127334465195246</v>
      </c>
    </row>
    <row r="18" spans="2:8">
      <c r="B18" s="137" t="s">
        <v>74</v>
      </c>
      <c r="C18" s="228">
        <f>Ventas!J18*$F$7</f>
        <v>33750000</v>
      </c>
      <c r="D18" s="228">
        <f>Ventas!K18*$F$8</f>
        <v>18360000</v>
      </c>
      <c r="E18" s="228">
        <f>Ventas!L18*'Costos Variables'!$F$9</f>
        <v>4560000</v>
      </c>
      <c r="F18" s="228">
        <f>Ventas!M18*'Costos Variables'!$F$10</f>
        <v>31350000</v>
      </c>
      <c r="G18" s="228">
        <f t="shared" si="0"/>
        <v>88020000</v>
      </c>
      <c r="H18" s="87">
        <f>IF(Ventas!N18=0,"",G18/Ventas!N18)</f>
        <v>0.26512048192771082</v>
      </c>
    </row>
    <row r="19" spans="2:8">
      <c r="B19" s="137" t="s">
        <v>75</v>
      </c>
      <c r="C19" s="228">
        <f>Ventas!J19*$F$7</f>
        <v>67500000</v>
      </c>
      <c r="D19" s="228">
        <f>Ventas!K19*$F$8</f>
        <v>13770000</v>
      </c>
      <c r="E19" s="228">
        <f>Ventas!L19*'Costos Variables'!$F$9</f>
        <v>11400000</v>
      </c>
      <c r="F19" s="228">
        <f>Ventas!M19*'Costos Variables'!$F$10</f>
        <v>37620000</v>
      </c>
      <c r="G19" s="228">
        <f t="shared" si="0"/>
        <v>130290000</v>
      </c>
      <c r="H19" s="87">
        <f>IF(Ventas!N19=0,"",G19/Ventas!N19)</f>
        <v>0.28385620915032678</v>
      </c>
    </row>
    <row r="20" spans="2:8">
      <c r="B20" s="137" t="s">
        <v>76</v>
      </c>
      <c r="C20" s="228">
        <f>Ventas!J20*$F$7</f>
        <v>40500000</v>
      </c>
      <c r="D20" s="228">
        <f>Ventas!K20*$F$8</f>
        <v>9180000</v>
      </c>
      <c r="E20" s="228">
        <f>Ventas!L20*'Costos Variables'!$F$9</f>
        <v>20520000</v>
      </c>
      <c r="F20" s="228">
        <f>Ventas!M20*'Costos Variables'!$F$10</f>
        <v>25080000</v>
      </c>
      <c r="G20" s="228">
        <f t="shared" si="0"/>
        <v>95280000</v>
      </c>
      <c r="H20" s="87">
        <f>IF(Ventas!N20=0,"",G20/Ventas!N20)</f>
        <v>0.26175824175824175</v>
      </c>
    </row>
    <row r="21" spans="2:8">
      <c r="B21" s="137" t="s">
        <v>77</v>
      </c>
      <c r="C21" s="228">
        <f>Ventas!J21*$F$7</f>
        <v>33750000</v>
      </c>
      <c r="D21" s="228">
        <f>Ventas!K21*$F$8</f>
        <v>4590000</v>
      </c>
      <c r="E21" s="228">
        <f>Ventas!L21*'Costos Variables'!$F$9</f>
        <v>18240000</v>
      </c>
      <c r="F21" s="228">
        <f>Ventas!M21*'Costos Variables'!$F$10</f>
        <v>41800000</v>
      </c>
      <c r="G21" s="228">
        <f t="shared" si="0"/>
        <v>98380000</v>
      </c>
      <c r="H21" s="87">
        <f>IF(Ventas!N21=0,"",G21/Ventas!N21)</f>
        <v>0.24112745098039215</v>
      </c>
    </row>
    <row r="22" spans="2:8">
      <c r="B22" s="137" t="s">
        <v>78</v>
      </c>
      <c r="C22" s="228">
        <f>Ventas!J22*$F$7</f>
        <v>27000000</v>
      </c>
      <c r="D22" s="228">
        <f>Ventas!K22*$F$8</f>
        <v>5508000</v>
      </c>
      <c r="E22" s="228">
        <f>Ventas!L22*'Costos Variables'!$F$9</f>
        <v>15960000</v>
      </c>
      <c r="F22" s="228">
        <f>Ventas!M22*'Costos Variables'!$F$10</f>
        <v>31350000</v>
      </c>
      <c r="G22" s="228">
        <f t="shared" si="0"/>
        <v>79818000</v>
      </c>
      <c r="H22" s="87">
        <f>IF(Ventas!N22=0,"",G22/Ventas!N22)</f>
        <v>0.24231329690346085</v>
      </c>
    </row>
    <row r="23" spans="2:8">
      <c r="B23" s="137" t="s">
        <v>79</v>
      </c>
      <c r="C23" s="228">
        <f>Ventas!J23*$F$7</f>
        <v>20250000</v>
      </c>
      <c r="D23" s="228">
        <f>Ventas!K23*$F$8</f>
        <v>6426000</v>
      </c>
      <c r="E23" s="228">
        <f>Ventas!L23*'Costos Variables'!$F$9</f>
        <v>13680000</v>
      </c>
      <c r="F23" s="228">
        <f>Ventas!M23*'Costos Variables'!$F$10</f>
        <v>27170000</v>
      </c>
      <c r="G23" s="228">
        <f t="shared" si="0"/>
        <v>67526000</v>
      </c>
      <c r="H23" s="87">
        <f>IF(Ventas!N23=0,"",G23/Ventas!N23)</f>
        <v>0.23793516560958422</v>
      </c>
    </row>
    <row r="24" spans="2:8">
      <c r="B24" s="137" t="s">
        <v>80</v>
      </c>
      <c r="C24" s="228">
        <f>Ventas!J24*$F$7</f>
        <v>13500000</v>
      </c>
      <c r="D24" s="228">
        <f>Ventas!K24*$F$8</f>
        <v>6885000</v>
      </c>
      <c r="E24" s="228">
        <f>Ventas!L24*'Costos Variables'!$F$9</f>
        <v>11400000</v>
      </c>
      <c r="F24" s="228">
        <f>Ventas!M24*'Costos Variables'!$F$10</f>
        <v>25080000</v>
      </c>
      <c r="G24" s="228">
        <f t="shared" si="0"/>
        <v>56865000</v>
      </c>
      <c r="H24" s="87">
        <f>IF(Ventas!N24=0,"",G24/Ventas!N24)</f>
        <v>0.22975757575757574</v>
      </c>
    </row>
    <row r="25" spans="2:8">
      <c r="B25" s="137" t="s">
        <v>81</v>
      </c>
      <c r="C25" s="228">
        <f>Ventas!J25*$F$7</f>
        <v>67500000</v>
      </c>
      <c r="D25" s="228">
        <f>Ventas!K25*$F$8</f>
        <v>5049000</v>
      </c>
      <c r="E25" s="228">
        <f>Ventas!L25*'Costos Variables'!$F$9</f>
        <v>9120000</v>
      </c>
      <c r="F25" s="228">
        <f>Ventas!M25*'Costos Variables'!$F$10</f>
        <v>22990000</v>
      </c>
      <c r="G25" s="228">
        <f t="shared" si="0"/>
        <v>104659000</v>
      </c>
      <c r="H25" s="87">
        <f>IF(Ventas!N25=0,"",G25/Ventas!N25)</f>
        <v>0.30991708617115782</v>
      </c>
    </row>
    <row r="26" spans="2:8">
      <c r="B26" s="137" t="s">
        <v>82</v>
      </c>
      <c r="C26" s="229">
        <f>Ventas!J26*$F$7</f>
        <v>513000000</v>
      </c>
      <c r="D26" s="229">
        <f>Ventas!K26*$F$8</f>
        <v>189108000</v>
      </c>
      <c r="E26" s="229">
        <f>Ventas!L26*'Costos Variables'!$F$9</f>
        <v>155040000</v>
      </c>
      <c r="F26" s="229">
        <f>Ventas!M26*'Costos Variables'!$F$10</f>
        <v>332310000</v>
      </c>
      <c r="G26" s="230">
        <f t="shared" si="0"/>
        <v>1189458000</v>
      </c>
      <c r="H26" s="87">
        <f>IF(Ventas!N26=0,"",G26/Ventas!N26)</f>
        <v>0.27</v>
      </c>
    </row>
    <row r="27" spans="2:8">
      <c r="B27" s="137" t="s">
        <v>83</v>
      </c>
      <c r="C27" s="229">
        <f>Ventas!J27*$F$7</f>
        <v>538650000</v>
      </c>
      <c r="D27" s="229">
        <f>Ventas!K27*$F$8</f>
        <v>198563400</v>
      </c>
      <c r="E27" s="229">
        <f>Ventas!L27*'Costos Variables'!$F$9</f>
        <v>162792000</v>
      </c>
      <c r="F27" s="229">
        <f>Ventas!M27*'Costos Variables'!$F$10</f>
        <v>348925500</v>
      </c>
      <c r="G27" s="231">
        <f t="shared" si="0"/>
        <v>1248930900</v>
      </c>
      <c r="H27" s="87">
        <f>IF(Ventas!N27=0,"",G27/Ventas!N27)</f>
        <v>0.27</v>
      </c>
    </row>
    <row r="28" spans="2:8">
      <c r="B28" s="137" t="s">
        <v>84</v>
      </c>
      <c r="C28" s="229">
        <f>Ventas!J28*$F$7</f>
        <v>561273300</v>
      </c>
      <c r="D28" s="229">
        <f>Ventas!K28*$F$8</f>
        <v>206903062.80000001</v>
      </c>
      <c r="E28" s="229">
        <f>Ventas!L28*'Costos Variables'!$F$9</f>
        <v>169629264</v>
      </c>
      <c r="F28" s="229">
        <f>Ventas!M28*'Costos Variables'!$F$10</f>
        <v>363580371</v>
      </c>
      <c r="G28" s="231">
        <f t="shared" si="0"/>
        <v>1301385997.8</v>
      </c>
      <c r="H28" s="87">
        <f>IF(Ventas!N28=0,"",G28/Ventas!N28)</f>
        <v>0.27</v>
      </c>
    </row>
    <row r="29" spans="2:8">
      <c r="B29" s="137" t="s">
        <v>113</v>
      </c>
      <c r="C29" s="229">
        <f>Ventas!J29*$F$7</f>
        <v>584846778.60000002</v>
      </c>
      <c r="D29" s="229">
        <f>Ventas!K29*$F$8</f>
        <v>215592991.43760002</v>
      </c>
      <c r="E29" s="229">
        <f>Ventas!L29*'Costos Variables'!$F$9</f>
        <v>176753693.088</v>
      </c>
      <c r="F29" s="229">
        <f>Ventas!M29*'Costos Variables'!$F$10</f>
        <v>378850746.58200002</v>
      </c>
      <c r="G29" s="231">
        <f>SUM(C29:F29)</f>
        <v>1356044209.7076001</v>
      </c>
      <c r="H29" s="87">
        <f>IF(Ventas!N29=0,"",G29/Ventas!N29)</f>
        <v>0.27</v>
      </c>
    </row>
    <row r="30" spans="2:8">
      <c r="B30" s="137" t="s">
        <v>114</v>
      </c>
      <c r="C30" s="229">
        <f>Ventas!J30*$F$7</f>
        <v>609410343.30120003</v>
      </c>
      <c r="D30" s="229">
        <f>Ventas!K30*$F$8</f>
        <v>224647897.07797921</v>
      </c>
      <c r="E30" s="229">
        <f>Ventas!L30*'Costos Variables'!$F$9</f>
        <v>184177348.19769603</v>
      </c>
      <c r="F30" s="229">
        <f>Ventas!M30*'Costos Variables'!$F$10</f>
        <v>394762477.93844402</v>
      </c>
      <c r="G30" s="231">
        <f>SUM(C30:F30)</f>
        <v>1412998066.5153193</v>
      </c>
      <c r="H30" s="87">
        <f>IF(Ventas!N30=0,"",G30/Ventas!N30)</f>
        <v>0.27000000000000007</v>
      </c>
    </row>
    <row r="35" spans="2:9" ht="24" thickBot="1">
      <c r="B35" s="279" t="s">
        <v>307</v>
      </c>
      <c r="C35" s="279"/>
      <c r="D35" s="279"/>
      <c r="E35" s="279"/>
      <c r="F35" s="279"/>
      <c r="G35" s="279"/>
      <c r="H35" s="279"/>
      <c r="I35" s="279"/>
    </row>
    <row r="36" spans="2:9" ht="52.05" customHeight="1" thickBot="1">
      <c r="B36" s="291" t="s">
        <v>317</v>
      </c>
      <c r="C36" s="292"/>
      <c r="D36" s="292"/>
      <c r="E36" s="292"/>
      <c r="F36" s="292"/>
      <c r="G36" s="292"/>
      <c r="H36" s="292"/>
      <c r="I36" s="293"/>
    </row>
    <row r="37" spans="2:9" ht="156" customHeight="1" thickBot="1">
      <c r="B37" s="283"/>
      <c r="C37" s="284"/>
      <c r="D37" s="284"/>
      <c r="E37" s="284"/>
      <c r="F37" s="284"/>
      <c r="G37" s="284"/>
      <c r="H37" s="284"/>
      <c r="I37" s="285"/>
    </row>
  </sheetData>
  <protectedRanges>
    <protectedRange sqref="C7:E10 G7:I10" name="Rango1"/>
    <protectedRange sqref="B7:B10" name="Productos_1"/>
  </protectedRanges>
  <mergeCells count="6">
    <mergeCell ref="B37:I37"/>
    <mergeCell ref="E3:I3"/>
    <mergeCell ref="B5:F5"/>
    <mergeCell ref="B12:H12"/>
    <mergeCell ref="B35:I35"/>
    <mergeCell ref="B36:I36"/>
  </mergeCells>
  <phoneticPr fontId="19"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rgb="FF92D050"/>
  </sheetPr>
  <dimension ref="A2:V59"/>
  <sheetViews>
    <sheetView topLeftCell="A23" workbookViewId="0">
      <selection activeCell="B59" sqref="B57:I59"/>
    </sheetView>
  </sheetViews>
  <sheetFormatPr baseColWidth="10" defaultRowHeight="13.8"/>
  <cols>
    <col min="1" max="1" width="4.44140625" style="1" customWidth="1"/>
    <col min="2" max="2" width="29.44140625" style="1" bestFit="1" customWidth="1"/>
    <col min="3" max="3" width="15.109375" style="1" customWidth="1"/>
    <col min="4" max="4" width="2" style="1" customWidth="1"/>
    <col min="5" max="5" width="13.44140625" style="1" customWidth="1"/>
    <col min="6" max="6" width="13.77734375" style="1" customWidth="1"/>
    <col min="7" max="7" width="15.77734375" style="1" bestFit="1" customWidth="1"/>
    <col min="8" max="8" width="1.44140625" style="1" customWidth="1"/>
    <col min="9" max="9" width="11" style="1" customWidth="1"/>
    <col min="10" max="10" width="13.44140625" style="1" customWidth="1"/>
    <col min="11" max="11" width="10.109375" style="1" customWidth="1"/>
    <col min="12" max="12" width="1.44140625" style="1" customWidth="1"/>
    <col min="13" max="13" width="13.77734375" style="1" bestFit="1" customWidth="1"/>
    <col min="14" max="14" width="1.44140625" style="1" customWidth="1"/>
    <col min="15" max="15" width="16" style="1" bestFit="1" customWidth="1"/>
    <col min="16" max="16" width="13" style="1" bestFit="1" customWidth="1"/>
    <col min="17" max="18" width="14.6640625" style="1" bestFit="1" customWidth="1"/>
    <col min="19" max="19" width="16" style="1" bestFit="1" customWidth="1"/>
    <col min="20" max="20" width="18.44140625" style="1" customWidth="1"/>
    <col min="21" max="21" width="11.44140625" style="1"/>
    <col min="22" max="22" width="0" style="1" hidden="1" customWidth="1"/>
    <col min="23" max="255" width="11.44140625" style="1"/>
    <col min="256" max="256" width="4.44140625" style="1" customWidth="1"/>
    <col min="257" max="257" width="27.44140625" style="1" customWidth="1"/>
    <col min="258" max="258" width="13.44140625" style="1" customWidth="1"/>
    <col min="259" max="259" width="2" style="1" customWidth="1"/>
    <col min="260" max="260" width="13.44140625" style="1" customWidth="1"/>
    <col min="261" max="261" width="13.77734375" style="1" customWidth="1"/>
    <col min="262" max="262" width="14.44140625" style="1" customWidth="1"/>
    <col min="263" max="263" width="1.44140625" style="1" customWidth="1"/>
    <col min="264" max="265" width="11" style="1" customWidth="1"/>
    <col min="266" max="266" width="10.109375" style="1" customWidth="1"/>
    <col min="267" max="267" width="1.44140625" style="1" customWidth="1"/>
    <col min="268" max="268" width="12.77734375" style="1" customWidth="1"/>
    <col min="269" max="269" width="1.44140625" style="1" customWidth="1"/>
    <col min="270" max="270" width="13.109375" style="1" customWidth="1"/>
    <col min="271" max="274" width="11.44140625" style="1"/>
    <col min="275" max="275" width="1.44140625" style="1" customWidth="1"/>
    <col min="276" max="276" width="12.109375" style="1" customWidth="1"/>
    <col min="277" max="277" width="11.44140625" style="1"/>
    <col min="278" max="278" width="0" style="1" hidden="1" customWidth="1"/>
    <col min="279" max="511" width="11.44140625" style="1"/>
    <col min="512" max="512" width="4.44140625" style="1" customWidth="1"/>
    <col min="513" max="513" width="27.44140625" style="1" customWidth="1"/>
    <col min="514" max="514" width="13.44140625" style="1" customWidth="1"/>
    <col min="515" max="515" width="2" style="1" customWidth="1"/>
    <col min="516" max="516" width="13.44140625" style="1" customWidth="1"/>
    <col min="517" max="517" width="13.77734375" style="1" customWidth="1"/>
    <col min="518" max="518" width="14.44140625" style="1" customWidth="1"/>
    <col min="519" max="519" width="1.44140625" style="1" customWidth="1"/>
    <col min="520" max="521" width="11" style="1" customWidth="1"/>
    <col min="522" max="522" width="10.109375" style="1" customWidth="1"/>
    <col min="523" max="523" width="1.44140625" style="1" customWidth="1"/>
    <col min="524" max="524" width="12.77734375" style="1" customWidth="1"/>
    <col min="525" max="525" width="1.44140625" style="1" customWidth="1"/>
    <col min="526" max="526" width="13.109375" style="1" customWidth="1"/>
    <col min="527" max="530" width="11.44140625" style="1"/>
    <col min="531" max="531" width="1.44140625" style="1" customWidth="1"/>
    <col min="532" max="532" width="12.109375" style="1" customWidth="1"/>
    <col min="533" max="533" width="11.44140625" style="1"/>
    <col min="534" max="534" width="0" style="1" hidden="1" customWidth="1"/>
    <col min="535" max="767" width="11.44140625" style="1"/>
    <col min="768" max="768" width="4.44140625" style="1" customWidth="1"/>
    <col min="769" max="769" width="27.44140625" style="1" customWidth="1"/>
    <col min="770" max="770" width="13.44140625" style="1" customWidth="1"/>
    <col min="771" max="771" width="2" style="1" customWidth="1"/>
    <col min="772" max="772" width="13.44140625" style="1" customWidth="1"/>
    <col min="773" max="773" width="13.77734375" style="1" customWidth="1"/>
    <col min="774" max="774" width="14.44140625" style="1" customWidth="1"/>
    <col min="775" max="775" width="1.44140625" style="1" customWidth="1"/>
    <col min="776" max="777" width="11" style="1" customWidth="1"/>
    <col min="778" max="778" width="10.109375" style="1" customWidth="1"/>
    <col min="779" max="779" width="1.44140625" style="1" customWidth="1"/>
    <col min="780" max="780" width="12.77734375" style="1" customWidth="1"/>
    <col min="781" max="781" width="1.44140625" style="1" customWidth="1"/>
    <col min="782" max="782" width="13.109375" style="1" customWidth="1"/>
    <col min="783" max="786" width="11.44140625" style="1"/>
    <col min="787" max="787" width="1.44140625" style="1" customWidth="1"/>
    <col min="788" max="788" width="12.109375" style="1" customWidth="1"/>
    <col min="789" max="789" width="11.44140625" style="1"/>
    <col min="790" max="790" width="0" style="1" hidden="1" customWidth="1"/>
    <col min="791" max="1023" width="11.44140625" style="1"/>
    <col min="1024" max="1024" width="4.44140625" style="1" customWidth="1"/>
    <col min="1025" max="1025" width="27.44140625" style="1" customWidth="1"/>
    <col min="1026" max="1026" width="13.44140625" style="1" customWidth="1"/>
    <col min="1027" max="1027" width="2" style="1" customWidth="1"/>
    <col min="1028" max="1028" width="13.44140625" style="1" customWidth="1"/>
    <col min="1029" max="1029" width="13.77734375" style="1" customWidth="1"/>
    <col min="1030" max="1030" width="14.44140625" style="1" customWidth="1"/>
    <col min="1031" max="1031" width="1.44140625" style="1" customWidth="1"/>
    <col min="1032" max="1033" width="11" style="1" customWidth="1"/>
    <col min="1034" max="1034" width="10.109375" style="1" customWidth="1"/>
    <col min="1035" max="1035" width="1.44140625" style="1" customWidth="1"/>
    <col min="1036" max="1036" width="12.77734375" style="1" customWidth="1"/>
    <col min="1037" max="1037" width="1.44140625" style="1" customWidth="1"/>
    <col min="1038" max="1038" width="13.109375" style="1" customWidth="1"/>
    <col min="1039" max="1042" width="11.44140625" style="1"/>
    <col min="1043" max="1043" width="1.44140625" style="1" customWidth="1"/>
    <col min="1044" max="1044" width="12.109375" style="1" customWidth="1"/>
    <col min="1045" max="1045" width="11.44140625" style="1"/>
    <col min="1046" max="1046" width="0" style="1" hidden="1" customWidth="1"/>
    <col min="1047" max="1279" width="11.44140625" style="1"/>
    <col min="1280" max="1280" width="4.44140625" style="1" customWidth="1"/>
    <col min="1281" max="1281" width="27.44140625" style="1" customWidth="1"/>
    <col min="1282" max="1282" width="13.44140625" style="1" customWidth="1"/>
    <col min="1283" max="1283" width="2" style="1" customWidth="1"/>
    <col min="1284" max="1284" width="13.44140625" style="1" customWidth="1"/>
    <col min="1285" max="1285" width="13.77734375" style="1" customWidth="1"/>
    <col min="1286" max="1286" width="14.44140625" style="1" customWidth="1"/>
    <col min="1287" max="1287" width="1.44140625" style="1" customWidth="1"/>
    <col min="1288" max="1289" width="11" style="1" customWidth="1"/>
    <col min="1290" max="1290" width="10.109375" style="1" customWidth="1"/>
    <col min="1291" max="1291" width="1.44140625" style="1" customWidth="1"/>
    <col min="1292" max="1292" width="12.77734375" style="1" customWidth="1"/>
    <col min="1293" max="1293" width="1.44140625" style="1" customWidth="1"/>
    <col min="1294" max="1294" width="13.109375" style="1" customWidth="1"/>
    <col min="1295" max="1298" width="11.44140625" style="1"/>
    <col min="1299" max="1299" width="1.44140625" style="1" customWidth="1"/>
    <col min="1300" max="1300" width="12.109375" style="1" customWidth="1"/>
    <col min="1301" max="1301" width="11.44140625" style="1"/>
    <col min="1302" max="1302" width="0" style="1" hidden="1" customWidth="1"/>
    <col min="1303" max="1535" width="11.44140625" style="1"/>
    <col min="1536" max="1536" width="4.44140625" style="1" customWidth="1"/>
    <col min="1537" max="1537" width="27.44140625" style="1" customWidth="1"/>
    <col min="1538" max="1538" width="13.44140625" style="1" customWidth="1"/>
    <col min="1539" max="1539" width="2" style="1" customWidth="1"/>
    <col min="1540" max="1540" width="13.44140625" style="1" customWidth="1"/>
    <col min="1541" max="1541" width="13.77734375" style="1" customWidth="1"/>
    <col min="1542" max="1542" width="14.44140625" style="1" customWidth="1"/>
    <col min="1543" max="1543" width="1.44140625" style="1" customWidth="1"/>
    <col min="1544" max="1545" width="11" style="1" customWidth="1"/>
    <col min="1546" max="1546" width="10.109375" style="1" customWidth="1"/>
    <col min="1547" max="1547" width="1.44140625" style="1" customWidth="1"/>
    <col min="1548" max="1548" width="12.77734375" style="1" customWidth="1"/>
    <col min="1549" max="1549" width="1.44140625" style="1" customWidth="1"/>
    <col min="1550" max="1550" width="13.109375" style="1" customWidth="1"/>
    <col min="1551" max="1554" width="11.44140625" style="1"/>
    <col min="1555" max="1555" width="1.44140625" style="1" customWidth="1"/>
    <col min="1556" max="1556" width="12.109375" style="1" customWidth="1"/>
    <col min="1557" max="1557" width="11.44140625" style="1"/>
    <col min="1558" max="1558" width="0" style="1" hidden="1" customWidth="1"/>
    <col min="1559" max="1791" width="11.44140625" style="1"/>
    <col min="1792" max="1792" width="4.44140625" style="1" customWidth="1"/>
    <col min="1793" max="1793" width="27.44140625" style="1" customWidth="1"/>
    <col min="1794" max="1794" width="13.44140625" style="1" customWidth="1"/>
    <col min="1795" max="1795" width="2" style="1" customWidth="1"/>
    <col min="1796" max="1796" width="13.44140625" style="1" customWidth="1"/>
    <col min="1797" max="1797" width="13.77734375" style="1" customWidth="1"/>
    <col min="1798" max="1798" width="14.44140625" style="1" customWidth="1"/>
    <col min="1799" max="1799" width="1.44140625" style="1" customWidth="1"/>
    <col min="1800" max="1801" width="11" style="1" customWidth="1"/>
    <col min="1802" max="1802" width="10.109375" style="1" customWidth="1"/>
    <col min="1803" max="1803" width="1.44140625" style="1" customWidth="1"/>
    <col min="1804" max="1804" width="12.77734375" style="1" customWidth="1"/>
    <col min="1805" max="1805" width="1.44140625" style="1" customWidth="1"/>
    <col min="1806" max="1806" width="13.109375" style="1" customWidth="1"/>
    <col min="1807" max="1810" width="11.44140625" style="1"/>
    <col min="1811" max="1811" width="1.44140625" style="1" customWidth="1"/>
    <col min="1812" max="1812" width="12.109375" style="1" customWidth="1"/>
    <col min="1813" max="1813" width="11.44140625" style="1"/>
    <col min="1814" max="1814" width="0" style="1" hidden="1" customWidth="1"/>
    <col min="1815" max="2047" width="11.44140625" style="1"/>
    <col min="2048" max="2048" width="4.44140625" style="1" customWidth="1"/>
    <col min="2049" max="2049" width="27.44140625" style="1" customWidth="1"/>
    <col min="2050" max="2050" width="13.44140625" style="1" customWidth="1"/>
    <col min="2051" max="2051" width="2" style="1" customWidth="1"/>
    <col min="2052" max="2052" width="13.44140625" style="1" customWidth="1"/>
    <col min="2053" max="2053" width="13.77734375" style="1" customWidth="1"/>
    <col min="2054" max="2054" width="14.44140625" style="1" customWidth="1"/>
    <col min="2055" max="2055" width="1.44140625" style="1" customWidth="1"/>
    <col min="2056" max="2057" width="11" style="1" customWidth="1"/>
    <col min="2058" max="2058" width="10.109375" style="1" customWidth="1"/>
    <col min="2059" max="2059" width="1.44140625" style="1" customWidth="1"/>
    <col min="2060" max="2060" width="12.77734375" style="1" customWidth="1"/>
    <col min="2061" max="2061" width="1.44140625" style="1" customWidth="1"/>
    <col min="2062" max="2062" width="13.109375" style="1" customWidth="1"/>
    <col min="2063" max="2066" width="11.44140625" style="1"/>
    <col min="2067" max="2067" width="1.44140625" style="1" customWidth="1"/>
    <col min="2068" max="2068" width="12.109375" style="1" customWidth="1"/>
    <col min="2069" max="2069" width="11.44140625" style="1"/>
    <col min="2070" max="2070" width="0" style="1" hidden="1" customWidth="1"/>
    <col min="2071" max="2303" width="11.44140625" style="1"/>
    <col min="2304" max="2304" width="4.44140625" style="1" customWidth="1"/>
    <col min="2305" max="2305" width="27.44140625" style="1" customWidth="1"/>
    <col min="2306" max="2306" width="13.44140625" style="1" customWidth="1"/>
    <col min="2307" max="2307" width="2" style="1" customWidth="1"/>
    <col min="2308" max="2308" width="13.44140625" style="1" customWidth="1"/>
    <col min="2309" max="2309" width="13.77734375" style="1" customWidth="1"/>
    <col min="2310" max="2310" width="14.44140625" style="1" customWidth="1"/>
    <col min="2311" max="2311" width="1.44140625" style="1" customWidth="1"/>
    <col min="2312" max="2313" width="11" style="1" customWidth="1"/>
    <col min="2314" max="2314" width="10.109375" style="1" customWidth="1"/>
    <col min="2315" max="2315" width="1.44140625" style="1" customWidth="1"/>
    <col min="2316" max="2316" width="12.77734375" style="1" customWidth="1"/>
    <col min="2317" max="2317" width="1.44140625" style="1" customWidth="1"/>
    <col min="2318" max="2318" width="13.109375" style="1" customWidth="1"/>
    <col min="2319" max="2322" width="11.44140625" style="1"/>
    <col min="2323" max="2323" width="1.44140625" style="1" customWidth="1"/>
    <col min="2324" max="2324" width="12.109375" style="1" customWidth="1"/>
    <col min="2325" max="2325" width="11.44140625" style="1"/>
    <col min="2326" max="2326" width="0" style="1" hidden="1" customWidth="1"/>
    <col min="2327" max="2559" width="11.44140625" style="1"/>
    <col min="2560" max="2560" width="4.44140625" style="1" customWidth="1"/>
    <col min="2561" max="2561" width="27.44140625" style="1" customWidth="1"/>
    <col min="2562" max="2562" width="13.44140625" style="1" customWidth="1"/>
    <col min="2563" max="2563" width="2" style="1" customWidth="1"/>
    <col min="2564" max="2564" width="13.44140625" style="1" customWidth="1"/>
    <col min="2565" max="2565" width="13.77734375" style="1" customWidth="1"/>
    <col min="2566" max="2566" width="14.44140625" style="1" customWidth="1"/>
    <col min="2567" max="2567" width="1.44140625" style="1" customWidth="1"/>
    <col min="2568" max="2569" width="11" style="1" customWidth="1"/>
    <col min="2570" max="2570" width="10.109375" style="1" customWidth="1"/>
    <col min="2571" max="2571" width="1.44140625" style="1" customWidth="1"/>
    <col min="2572" max="2572" width="12.77734375" style="1" customWidth="1"/>
    <col min="2573" max="2573" width="1.44140625" style="1" customWidth="1"/>
    <col min="2574" max="2574" width="13.109375" style="1" customWidth="1"/>
    <col min="2575" max="2578" width="11.44140625" style="1"/>
    <col min="2579" max="2579" width="1.44140625" style="1" customWidth="1"/>
    <col min="2580" max="2580" width="12.109375" style="1" customWidth="1"/>
    <col min="2581" max="2581" width="11.44140625" style="1"/>
    <col min="2582" max="2582" width="0" style="1" hidden="1" customWidth="1"/>
    <col min="2583" max="2815" width="11.44140625" style="1"/>
    <col min="2816" max="2816" width="4.44140625" style="1" customWidth="1"/>
    <col min="2817" max="2817" width="27.44140625" style="1" customWidth="1"/>
    <col min="2818" max="2818" width="13.44140625" style="1" customWidth="1"/>
    <col min="2819" max="2819" width="2" style="1" customWidth="1"/>
    <col min="2820" max="2820" width="13.44140625" style="1" customWidth="1"/>
    <col min="2821" max="2821" width="13.77734375" style="1" customWidth="1"/>
    <col min="2822" max="2822" width="14.44140625" style="1" customWidth="1"/>
    <col min="2823" max="2823" width="1.44140625" style="1" customWidth="1"/>
    <col min="2824" max="2825" width="11" style="1" customWidth="1"/>
    <col min="2826" max="2826" width="10.109375" style="1" customWidth="1"/>
    <col min="2827" max="2827" width="1.44140625" style="1" customWidth="1"/>
    <col min="2828" max="2828" width="12.77734375" style="1" customWidth="1"/>
    <col min="2829" max="2829" width="1.44140625" style="1" customWidth="1"/>
    <col min="2830" max="2830" width="13.109375" style="1" customWidth="1"/>
    <col min="2831" max="2834" width="11.44140625" style="1"/>
    <col min="2835" max="2835" width="1.44140625" style="1" customWidth="1"/>
    <col min="2836" max="2836" width="12.109375" style="1" customWidth="1"/>
    <col min="2837" max="2837" width="11.44140625" style="1"/>
    <col min="2838" max="2838" width="0" style="1" hidden="1" customWidth="1"/>
    <col min="2839" max="3071" width="11.44140625" style="1"/>
    <col min="3072" max="3072" width="4.44140625" style="1" customWidth="1"/>
    <col min="3073" max="3073" width="27.44140625" style="1" customWidth="1"/>
    <col min="3074" max="3074" width="13.44140625" style="1" customWidth="1"/>
    <col min="3075" max="3075" width="2" style="1" customWidth="1"/>
    <col min="3076" max="3076" width="13.44140625" style="1" customWidth="1"/>
    <col min="3077" max="3077" width="13.77734375" style="1" customWidth="1"/>
    <col min="3078" max="3078" width="14.44140625" style="1" customWidth="1"/>
    <col min="3079" max="3079" width="1.44140625" style="1" customWidth="1"/>
    <col min="3080" max="3081" width="11" style="1" customWidth="1"/>
    <col min="3082" max="3082" width="10.109375" style="1" customWidth="1"/>
    <col min="3083" max="3083" width="1.44140625" style="1" customWidth="1"/>
    <col min="3084" max="3084" width="12.77734375" style="1" customWidth="1"/>
    <col min="3085" max="3085" width="1.44140625" style="1" customWidth="1"/>
    <col min="3086" max="3086" width="13.109375" style="1" customWidth="1"/>
    <col min="3087" max="3090" width="11.44140625" style="1"/>
    <col min="3091" max="3091" width="1.44140625" style="1" customWidth="1"/>
    <col min="3092" max="3092" width="12.109375" style="1" customWidth="1"/>
    <col min="3093" max="3093" width="11.44140625" style="1"/>
    <col min="3094" max="3094" width="0" style="1" hidden="1" customWidth="1"/>
    <col min="3095" max="3327" width="11.44140625" style="1"/>
    <col min="3328" max="3328" width="4.44140625" style="1" customWidth="1"/>
    <col min="3329" max="3329" width="27.44140625" style="1" customWidth="1"/>
    <col min="3330" max="3330" width="13.44140625" style="1" customWidth="1"/>
    <col min="3331" max="3331" width="2" style="1" customWidth="1"/>
    <col min="3332" max="3332" width="13.44140625" style="1" customWidth="1"/>
    <col min="3333" max="3333" width="13.77734375" style="1" customWidth="1"/>
    <col min="3334" max="3334" width="14.44140625" style="1" customWidth="1"/>
    <col min="3335" max="3335" width="1.44140625" style="1" customWidth="1"/>
    <col min="3336" max="3337" width="11" style="1" customWidth="1"/>
    <col min="3338" max="3338" width="10.109375" style="1" customWidth="1"/>
    <col min="3339" max="3339" width="1.44140625" style="1" customWidth="1"/>
    <col min="3340" max="3340" width="12.77734375" style="1" customWidth="1"/>
    <col min="3341" max="3341" width="1.44140625" style="1" customWidth="1"/>
    <col min="3342" max="3342" width="13.109375" style="1" customWidth="1"/>
    <col min="3343" max="3346" width="11.44140625" style="1"/>
    <col min="3347" max="3347" width="1.44140625" style="1" customWidth="1"/>
    <col min="3348" max="3348" width="12.109375" style="1" customWidth="1"/>
    <col min="3349" max="3349" width="11.44140625" style="1"/>
    <col min="3350" max="3350" width="0" style="1" hidden="1" customWidth="1"/>
    <col min="3351" max="3583" width="11.44140625" style="1"/>
    <col min="3584" max="3584" width="4.44140625" style="1" customWidth="1"/>
    <col min="3585" max="3585" width="27.44140625" style="1" customWidth="1"/>
    <col min="3586" max="3586" width="13.44140625" style="1" customWidth="1"/>
    <col min="3587" max="3587" width="2" style="1" customWidth="1"/>
    <col min="3588" max="3588" width="13.44140625" style="1" customWidth="1"/>
    <col min="3589" max="3589" width="13.77734375" style="1" customWidth="1"/>
    <col min="3590" max="3590" width="14.44140625" style="1" customWidth="1"/>
    <col min="3591" max="3591" width="1.44140625" style="1" customWidth="1"/>
    <col min="3592" max="3593" width="11" style="1" customWidth="1"/>
    <col min="3594" max="3594" width="10.109375" style="1" customWidth="1"/>
    <col min="3595" max="3595" width="1.44140625" style="1" customWidth="1"/>
    <col min="3596" max="3596" width="12.77734375" style="1" customWidth="1"/>
    <col min="3597" max="3597" width="1.44140625" style="1" customWidth="1"/>
    <col min="3598" max="3598" width="13.109375" style="1" customWidth="1"/>
    <col min="3599" max="3602" width="11.44140625" style="1"/>
    <col min="3603" max="3603" width="1.44140625" style="1" customWidth="1"/>
    <col min="3604" max="3604" width="12.109375" style="1" customWidth="1"/>
    <col min="3605" max="3605" width="11.44140625" style="1"/>
    <col min="3606" max="3606" width="0" style="1" hidden="1" customWidth="1"/>
    <col min="3607" max="3839" width="11.44140625" style="1"/>
    <col min="3840" max="3840" width="4.44140625" style="1" customWidth="1"/>
    <col min="3841" max="3841" width="27.44140625" style="1" customWidth="1"/>
    <col min="3842" max="3842" width="13.44140625" style="1" customWidth="1"/>
    <col min="3843" max="3843" width="2" style="1" customWidth="1"/>
    <col min="3844" max="3844" width="13.44140625" style="1" customWidth="1"/>
    <col min="3845" max="3845" width="13.77734375" style="1" customWidth="1"/>
    <col min="3846" max="3846" width="14.44140625" style="1" customWidth="1"/>
    <col min="3847" max="3847" width="1.44140625" style="1" customWidth="1"/>
    <col min="3848" max="3849" width="11" style="1" customWidth="1"/>
    <col min="3850" max="3850" width="10.109375" style="1" customWidth="1"/>
    <col min="3851" max="3851" width="1.44140625" style="1" customWidth="1"/>
    <col min="3852" max="3852" width="12.77734375" style="1" customWidth="1"/>
    <col min="3853" max="3853" width="1.44140625" style="1" customWidth="1"/>
    <col min="3854" max="3854" width="13.109375" style="1" customWidth="1"/>
    <col min="3855" max="3858" width="11.44140625" style="1"/>
    <col min="3859" max="3859" width="1.44140625" style="1" customWidth="1"/>
    <col min="3860" max="3860" width="12.109375" style="1" customWidth="1"/>
    <col min="3861" max="3861" width="11.44140625" style="1"/>
    <col min="3862" max="3862" width="0" style="1" hidden="1" customWidth="1"/>
    <col min="3863" max="4095" width="11.44140625" style="1"/>
    <col min="4096" max="4096" width="4.44140625" style="1" customWidth="1"/>
    <col min="4097" max="4097" width="27.44140625" style="1" customWidth="1"/>
    <col min="4098" max="4098" width="13.44140625" style="1" customWidth="1"/>
    <col min="4099" max="4099" width="2" style="1" customWidth="1"/>
    <col min="4100" max="4100" width="13.44140625" style="1" customWidth="1"/>
    <col min="4101" max="4101" width="13.77734375" style="1" customWidth="1"/>
    <col min="4102" max="4102" width="14.44140625" style="1" customWidth="1"/>
    <col min="4103" max="4103" width="1.44140625" style="1" customWidth="1"/>
    <col min="4104" max="4105" width="11" style="1" customWidth="1"/>
    <col min="4106" max="4106" width="10.109375" style="1" customWidth="1"/>
    <col min="4107" max="4107" width="1.44140625" style="1" customWidth="1"/>
    <col min="4108" max="4108" width="12.77734375" style="1" customWidth="1"/>
    <col min="4109" max="4109" width="1.44140625" style="1" customWidth="1"/>
    <col min="4110" max="4110" width="13.109375" style="1" customWidth="1"/>
    <col min="4111" max="4114" width="11.44140625" style="1"/>
    <col min="4115" max="4115" width="1.44140625" style="1" customWidth="1"/>
    <col min="4116" max="4116" width="12.109375" style="1" customWidth="1"/>
    <col min="4117" max="4117" width="11.44140625" style="1"/>
    <col min="4118" max="4118" width="0" style="1" hidden="1" customWidth="1"/>
    <col min="4119" max="4351" width="11.44140625" style="1"/>
    <col min="4352" max="4352" width="4.44140625" style="1" customWidth="1"/>
    <col min="4353" max="4353" width="27.44140625" style="1" customWidth="1"/>
    <col min="4354" max="4354" width="13.44140625" style="1" customWidth="1"/>
    <col min="4355" max="4355" width="2" style="1" customWidth="1"/>
    <col min="4356" max="4356" width="13.44140625" style="1" customWidth="1"/>
    <col min="4357" max="4357" width="13.77734375" style="1" customWidth="1"/>
    <col min="4358" max="4358" width="14.44140625" style="1" customWidth="1"/>
    <col min="4359" max="4359" width="1.44140625" style="1" customWidth="1"/>
    <col min="4360" max="4361" width="11" style="1" customWidth="1"/>
    <col min="4362" max="4362" width="10.109375" style="1" customWidth="1"/>
    <col min="4363" max="4363" width="1.44140625" style="1" customWidth="1"/>
    <col min="4364" max="4364" width="12.77734375" style="1" customWidth="1"/>
    <col min="4365" max="4365" width="1.44140625" style="1" customWidth="1"/>
    <col min="4366" max="4366" width="13.109375" style="1" customWidth="1"/>
    <col min="4367" max="4370" width="11.44140625" style="1"/>
    <col min="4371" max="4371" width="1.44140625" style="1" customWidth="1"/>
    <col min="4372" max="4372" width="12.109375" style="1" customWidth="1"/>
    <col min="4373" max="4373" width="11.44140625" style="1"/>
    <col min="4374" max="4374" width="0" style="1" hidden="1" customWidth="1"/>
    <col min="4375" max="4607" width="11.44140625" style="1"/>
    <col min="4608" max="4608" width="4.44140625" style="1" customWidth="1"/>
    <col min="4609" max="4609" width="27.44140625" style="1" customWidth="1"/>
    <col min="4610" max="4610" width="13.44140625" style="1" customWidth="1"/>
    <col min="4611" max="4611" width="2" style="1" customWidth="1"/>
    <col min="4612" max="4612" width="13.44140625" style="1" customWidth="1"/>
    <col min="4613" max="4613" width="13.77734375" style="1" customWidth="1"/>
    <col min="4614" max="4614" width="14.44140625" style="1" customWidth="1"/>
    <col min="4615" max="4615" width="1.44140625" style="1" customWidth="1"/>
    <col min="4616" max="4617" width="11" style="1" customWidth="1"/>
    <col min="4618" max="4618" width="10.109375" style="1" customWidth="1"/>
    <col min="4619" max="4619" width="1.44140625" style="1" customWidth="1"/>
    <col min="4620" max="4620" width="12.77734375" style="1" customWidth="1"/>
    <col min="4621" max="4621" width="1.44140625" style="1" customWidth="1"/>
    <col min="4622" max="4622" width="13.109375" style="1" customWidth="1"/>
    <col min="4623" max="4626" width="11.44140625" style="1"/>
    <col min="4627" max="4627" width="1.44140625" style="1" customWidth="1"/>
    <col min="4628" max="4628" width="12.109375" style="1" customWidth="1"/>
    <col min="4629" max="4629" width="11.44140625" style="1"/>
    <col min="4630" max="4630" width="0" style="1" hidden="1" customWidth="1"/>
    <col min="4631" max="4863" width="11.44140625" style="1"/>
    <col min="4864" max="4864" width="4.44140625" style="1" customWidth="1"/>
    <col min="4865" max="4865" width="27.44140625" style="1" customWidth="1"/>
    <col min="4866" max="4866" width="13.44140625" style="1" customWidth="1"/>
    <col min="4867" max="4867" width="2" style="1" customWidth="1"/>
    <col min="4868" max="4868" width="13.44140625" style="1" customWidth="1"/>
    <col min="4869" max="4869" width="13.77734375" style="1" customWidth="1"/>
    <col min="4870" max="4870" width="14.44140625" style="1" customWidth="1"/>
    <col min="4871" max="4871" width="1.44140625" style="1" customWidth="1"/>
    <col min="4872" max="4873" width="11" style="1" customWidth="1"/>
    <col min="4874" max="4874" width="10.109375" style="1" customWidth="1"/>
    <col min="4875" max="4875" width="1.44140625" style="1" customWidth="1"/>
    <col min="4876" max="4876" width="12.77734375" style="1" customWidth="1"/>
    <col min="4877" max="4877" width="1.44140625" style="1" customWidth="1"/>
    <col min="4878" max="4878" width="13.109375" style="1" customWidth="1"/>
    <col min="4879" max="4882" width="11.44140625" style="1"/>
    <col min="4883" max="4883" width="1.44140625" style="1" customWidth="1"/>
    <col min="4884" max="4884" width="12.109375" style="1" customWidth="1"/>
    <col min="4885" max="4885" width="11.44140625" style="1"/>
    <col min="4886" max="4886" width="0" style="1" hidden="1" customWidth="1"/>
    <col min="4887" max="5119" width="11.44140625" style="1"/>
    <col min="5120" max="5120" width="4.44140625" style="1" customWidth="1"/>
    <col min="5121" max="5121" width="27.44140625" style="1" customWidth="1"/>
    <col min="5122" max="5122" width="13.44140625" style="1" customWidth="1"/>
    <col min="5123" max="5123" width="2" style="1" customWidth="1"/>
    <col min="5124" max="5124" width="13.44140625" style="1" customWidth="1"/>
    <col min="5125" max="5125" width="13.77734375" style="1" customWidth="1"/>
    <col min="5126" max="5126" width="14.44140625" style="1" customWidth="1"/>
    <col min="5127" max="5127" width="1.44140625" style="1" customWidth="1"/>
    <col min="5128" max="5129" width="11" style="1" customWidth="1"/>
    <col min="5130" max="5130" width="10.109375" style="1" customWidth="1"/>
    <col min="5131" max="5131" width="1.44140625" style="1" customWidth="1"/>
    <col min="5132" max="5132" width="12.77734375" style="1" customWidth="1"/>
    <col min="5133" max="5133" width="1.44140625" style="1" customWidth="1"/>
    <col min="5134" max="5134" width="13.109375" style="1" customWidth="1"/>
    <col min="5135" max="5138" width="11.44140625" style="1"/>
    <col min="5139" max="5139" width="1.44140625" style="1" customWidth="1"/>
    <col min="5140" max="5140" width="12.109375" style="1" customWidth="1"/>
    <col min="5141" max="5141" width="11.44140625" style="1"/>
    <col min="5142" max="5142" width="0" style="1" hidden="1" customWidth="1"/>
    <col min="5143" max="5375" width="11.44140625" style="1"/>
    <col min="5376" max="5376" width="4.44140625" style="1" customWidth="1"/>
    <col min="5377" max="5377" width="27.44140625" style="1" customWidth="1"/>
    <col min="5378" max="5378" width="13.44140625" style="1" customWidth="1"/>
    <col min="5379" max="5379" width="2" style="1" customWidth="1"/>
    <col min="5380" max="5380" width="13.44140625" style="1" customWidth="1"/>
    <col min="5381" max="5381" width="13.77734375" style="1" customWidth="1"/>
    <col min="5382" max="5382" width="14.44140625" style="1" customWidth="1"/>
    <col min="5383" max="5383" width="1.44140625" style="1" customWidth="1"/>
    <col min="5384" max="5385" width="11" style="1" customWidth="1"/>
    <col min="5386" max="5386" width="10.109375" style="1" customWidth="1"/>
    <col min="5387" max="5387" width="1.44140625" style="1" customWidth="1"/>
    <col min="5388" max="5388" width="12.77734375" style="1" customWidth="1"/>
    <col min="5389" max="5389" width="1.44140625" style="1" customWidth="1"/>
    <col min="5390" max="5390" width="13.109375" style="1" customWidth="1"/>
    <col min="5391" max="5394" width="11.44140625" style="1"/>
    <col min="5395" max="5395" width="1.44140625" style="1" customWidth="1"/>
    <col min="5396" max="5396" width="12.109375" style="1" customWidth="1"/>
    <col min="5397" max="5397" width="11.44140625" style="1"/>
    <col min="5398" max="5398" width="0" style="1" hidden="1" customWidth="1"/>
    <col min="5399" max="5631" width="11.44140625" style="1"/>
    <col min="5632" max="5632" width="4.44140625" style="1" customWidth="1"/>
    <col min="5633" max="5633" width="27.44140625" style="1" customWidth="1"/>
    <col min="5634" max="5634" width="13.44140625" style="1" customWidth="1"/>
    <col min="5635" max="5635" width="2" style="1" customWidth="1"/>
    <col min="5636" max="5636" width="13.44140625" style="1" customWidth="1"/>
    <col min="5637" max="5637" width="13.77734375" style="1" customWidth="1"/>
    <col min="5638" max="5638" width="14.44140625" style="1" customWidth="1"/>
    <col min="5639" max="5639" width="1.44140625" style="1" customWidth="1"/>
    <col min="5640" max="5641" width="11" style="1" customWidth="1"/>
    <col min="5642" max="5642" width="10.109375" style="1" customWidth="1"/>
    <col min="5643" max="5643" width="1.44140625" style="1" customWidth="1"/>
    <col min="5644" max="5644" width="12.77734375" style="1" customWidth="1"/>
    <col min="5645" max="5645" width="1.44140625" style="1" customWidth="1"/>
    <col min="5646" max="5646" width="13.109375" style="1" customWidth="1"/>
    <col min="5647" max="5650" width="11.44140625" style="1"/>
    <col min="5651" max="5651" width="1.44140625" style="1" customWidth="1"/>
    <col min="5652" max="5652" width="12.109375" style="1" customWidth="1"/>
    <col min="5653" max="5653" width="11.44140625" style="1"/>
    <col min="5654" max="5654" width="0" style="1" hidden="1" customWidth="1"/>
    <col min="5655" max="5887" width="11.44140625" style="1"/>
    <col min="5888" max="5888" width="4.44140625" style="1" customWidth="1"/>
    <col min="5889" max="5889" width="27.44140625" style="1" customWidth="1"/>
    <col min="5890" max="5890" width="13.44140625" style="1" customWidth="1"/>
    <col min="5891" max="5891" width="2" style="1" customWidth="1"/>
    <col min="5892" max="5892" width="13.44140625" style="1" customWidth="1"/>
    <col min="5893" max="5893" width="13.77734375" style="1" customWidth="1"/>
    <col min="5894" max="5894" width="14.44140625" style="1" customWidth="1"/>
    <col min="5895" max="5895" width="1.44140625" style="1" customWidth="1"/>
    <col min="5896" max="5897" width="11" style="1" customWidth="1"/>
    <col min="5898" max="5898" width="10.109375" style="1" customWidth="1"/>
    <col min="5899" max="5899" width="1.44140625" style="1" customWidth="1"/>
    <col min="5900" max="5900" width="12.77734375" style="1" customWidth="1"/>
    <col min="5901" max="5901" width="1.44140625" style="1" customWidth="1"/>
    <col min="5902" max="5902" width="13.109375" style="1" customWidth="1"/>
    <col min="5903" max="5906" width="11.44140625" style="1"/>
    <col min="5907" max="5907" width="1.44140625" style="1" customWidth="1"/>
    <col min="5908" max="5908" width="12.109375" style="1" customWidth="1"/>
    <col min="5909" max="5909" width="11.44140625" style="1"/>
    <col min="5910" max="5910" width="0" style="1" hidden="1" customWidth="1"/>
    <col min="5911" max="6143" width="11.44140625" style="1"/>
    <col min="6144" max="6144" width="4.44140625" style="1" customWidth="1"/>
    <col min="6145" max="6145" width="27.44140625" style="1" customWidth="1"/>
    <col min="6146" max="6146" width="13.44140625" style="1" customWidth="1"/>
    <col min="6147" max="6147" width="2" style="1" customWidth="1"/>
    <col min="6148" max="6148" width="13.44140625" style="1" customWidth="1"/>
    <col min="6149" max="6149" width="13.77734375" style="1" customWidth="1"/>
    <col min="6150" max="6150" width="14.44140625" style="1" customWidth="1"/>
    <col min="6151" max="6151" width="1.44140625" style="1" customWidth="1"/>
    <col min="6152" max="6153" width="11" style="1" customWidth="1"/>
    <col min="6154" max="6154" width="10.109375" style="1" customWidth="1"/>
    <col min="6155" max="6155" width="1.44140625" style="1" customWidth="1"/>
    <col min="6156" max="6156" width="12.77734375" style="1" customWidth="1"/>
    <col min="6157" max="6157" width="1.44140625" style="1" customWidth="1"/>
    <col min="6158" max="6158" width="13.109375" style="1" customWidth="1"/>
    <col min="6159" max="6162" width="11.44140625" style="1"/>
    <col min="6163" max="6163" width="1.44140625" style="1" customWidth="1"/>
    <col min="6164" max="6164" width="12.109375" style="1" customWidth="1"/>
    <col min="6165" max="6165" width="11.44140625" style="1"/>
    <col min="6166" max="6166" width="0" style="1" hidden="1" customWidth="1"/>
    <col min="6167" max="6399" width="11.44140625" style="1"/>
    <col min="6400" max="6400" width="4.44140625" style="1" customWidth="1"/>
    <col min="6401" max="6401" width="27.44140625" style="1" customWidth="1"/>
    <col min="6402" max="6402" width="13.44140625" style="1" customWidth="1"/>
    <col min="6403" max="6403" width="2" style="1" customWidth="1"/>
    <col min="6404" max="6404" width="13.44140625" style="1" customWidth="1"/>
    <col min="6405" max="6405" width="13.77734375" style="1" customWidth="1"/>
    <col min="6406" max="6406" width="14.44140625" style="1" customWidth="1"/>
    <col min="6407" max="6407" width="1.44140625" style="1" customWidth="1"/>
    <col min="6408" max="6409" width="11" style="1" customWidth="1"/>
    <col min="6410" max="6410" width="10.109375" style="1" customWidth="1"/>
    <col min="6411" max="6411" width="1.44140625" style="1" customWidth="1"/>
    <col min="6412" max="6412" width="12.77734375" style="1" customWidth="1"/>
    <col min="6413" max="6413" width="1.44140625" style="1" customWidth="1"/>
    <col min="6414" max="6414" width="13.109375" style="1" customWidth="1"/>
    <col min="6415" max="6418" width="11.44140625" style="1"/>
    <col min="6419" max="6419" width="1.44140625" style="1" customWidth="1"/>
    <col min="6420" max="6420" width="12.109375" style="1" customWidth="1"/>
    <col min="6421" max="6421" width="11.44140625" style="1"/>
    <col min="6422" max="6422" width="0" style="1" hidden="1" customWidth="1"/>
    <col min="6423" max="6655" width="11.44140625" style="1"/>
    <col min="6656" max="6656" width="4.44140625" style="1" customWidth="1"/>
    <col min="6657" max="6657" width="27.44140625" style="1" customWidth="1"/>
    <col min="6658" max="6658" width="13.44140625" style="1" customWidth="1"/>
    <col min="6659" max="6659" width="2" style="1" customWidth="1"/>
    <col min="6660" max="6660" width="13.44140625" style="1" customWidth="1"/>
    <col min="6661" max="6661" width="13.77734375" style="1" customWidth="1"/>
    <col min="6662" max="6662" width="14.44140625" style="1" customWidth="1"/>
    <col min="6663" max="6663" width="1.44140625" style="1" customWidth="1"/>
    <col min="6664" max="6665" width="11" style="1" customWidth="1"/>
    <col min="6666" max="6666" width="10.109375" style="1" customWidth="1"/>
    <col min="6667" max="6667" width="1.44140625" style="1" customWidth="1"/>
    <col min="6668" max="6668" width="12.77734375" style="1" customWidth="1"/>
    <col min="6669" max="6669" width="1.44140625" style="1" customWidth="1"/>
    <col min="6670" max="6670" width="13.109375" style="1" customWidth="1"/>
    <col min="6671" max="6674" width="11.44140625" style="1"/>
    <col min="6675" max="6675" width="1.44140625" style="1" customWidth="1"/>
    <col min="6676" max="6676" width="12.109375" style="1" customWidth="1"/>
    <col min="6677" max="6677" width="11.44140625" style="1"/>
    <col min="6678" max="6678" width="0" style="1" hidden="1" customWidth="1"/>
    <col min="6679" max="6911" width="11.44140625" style="1"/>
    <col min="6912" max="6912" width="4.44140625" style="1" customWidth="1"/>
    <col min="6913" max="6913" width="27.44140625" style="1" customWidth="1"/>
    <col min="6914" max="6914" width="13.44140625" style="1" customWidth="1"/>
    <col min="6915" max="6915" width="2" style="1" customWidth="1"/>
    <col min="6916" max="6916" width="13.44140625" style="1" customWidth="1"/>
    <col min="6917" max="6917" width="13.77734375" style="1" customWidth="1"/>
    <col min="6918" max="6918" width="14.44140625" style="1" customWidth="1"/>
    <col min="6919" max="6919" width="1.44140625" style="1" customWidth="1"/>
    <col min="6920" max="6921" width="11" style="1" customWidth="1"/>
    <col min="6922" max="6922" width="10.109375" style="1" customWidth="1"/>
    <col min="6923" max="6923" width="1.44140625" style="1" customWidth="1"/>
    <col min="6924" max="6924" width="12.77734375" style="1" customWidth="1"/>
    <col min="6925" max="6925" width="1.44140625" style="1" customWidth="1"/>
    <col min="6926" max="6926" width="13.109375" style="1" customWidth="1"/>
    <col min="6927" max="6930" width="11.44140625" style="1"/>
    <col min="6931" max="6931" width="1.44140625" style="1" customWidth="1"/>
    <col min="6932" max="6932" width="12.109375" style="1" customWidth="1"/>
    <col min="6933" max="6933" width="11.44140625" style="1"/>
    <col min="6934" max="6934" width="0" style="1" hidden="1" customWidth="1"/>
    <col min="6935" max="7167" width="11.44140625" style="1"/>
    <col min="7168" max="7168" width="4.44140625" style="1" customWidth="1"/>
    <col min="7169" max="7169" width="27.44140625" style="1" customWidth="1"/>
    <col min="7170" max="7170" width="13.44140625" style="1" customWidth="1"/>
    <col min="7171" max="7171" width="2" style="1" customWidth="1"/>
    <col min="7172" max="7172" width="13.44140625" style="1" customWidth="1"/>
    <col min="7173" max="7173" width="13.77734375" style="1" customWidth="1"/>
    <col min="7174" max="7174" width="14.44140625" style="1" customWidth="1"/>
    <col min="7175" max="7175" width="1.44140625" style="1" customWidth="1"/>
    <col min="7176" max="7177" width="11" style="1" customWidth="1"/>
    <col min="7178" max="7178" width="10.109375" style="1" customWidth="1"/>
    <col min="7179" max="7179" width="1.44140625" style="1" customWidth="1"/>
    <col min="7180" max="7180" width="12.77734375" style="1" customWidth="1"/>
    <col min="7181" max="7181" width="1.44140625" style="1" customWidth="1"/>
    <col min="7182" max="7182" width="13.109375" style="1" customWidth="1"/>
    <col min="7183" max="7186" width="11.44140625" style="1"/>
    <col min="7187" max="7187" width="1.44140625" style="1" customWidth="1"/>
    <col min="7188" max="7188" width="12.109375" style="1" customWidth="1"/>
    <col min="7189" max="7189" width="11.44140625" style="1"/>
    <col min="7190" max="7190" width="0" style="1" hidden="1" customWidth="1"/>
    <col min="7191" max="7423" width="11.44140625" style="1"/>
    <col min="7424" max="7424" width="4.44140625" style="1" customWidth="1"/>
    <col min="7425" max="7425" width="27.44140625" style="1" customWidth="1"/>
    <col min="7426" max="7426" width="13.44140625" style="1" customWidth="1"/>
    <col min="7427" max="7427" width="2" style="1" customWidth="1"/>
    <col min="7428" max="7428" width="13.44140625" style="1" customWidth="1"/>
    <col min="7429" max="7429" width="13.77734375" style="1" customWidth="1"/>
    <col min="7430" max="7430" width="14.44140625" style="1" customWidth="1"/>
    <col min="7431" max="7431" width="1.44140625" style="1" customWidth="1"/>
    <col min="7432" max="7433" width="11" style="1" customWidth="1"/>
    <col min="7434" max="7434" width="10.109375" style="1" customWidth="1"/>
    <col min="7435" max="7435" width="1.44140625" style="1" customWidth="1"/>
    <col min="7436" max="7436" width="12.77734375" style="1" customWidth="1"/>
    <col min="7437" max="7437" width="1.44140625" style="1" customWidth="1"/>
    <col min="7438" max="7438" width="13.109375" style="1" customWidth="1"/>
    <col min="7439" max="7442" width="11.44140625" style="1"/>
    <col min="7443" max="7443" width="1.44140625" style="1" customWidth="1"/>
    <col min="7444" max="7444" width="12.109375" style="1" customWidth="1"/>
    <col min="7445" max="7445" width="11.44140625" style="1"/>
    <col min="7446" max="7446" width="0" style="1" hidden="1" customWidth="1"/>
    <col min="7447" max="7679" width="11.44140625" style="1"/>
    <col min="7680" max="7680" width="4.44140625" style="1" customWidth="1"/>
    <col min="7681" max="7681" width="27.44140625" style="1" customWidth="1"/>
    <col min="7682" max="7682" width="13.44140625" style="1" customWidth="1"/>
    <col min="7683" max="7683" width="2" style="1" customWidth="1"/>
    <col min="7684" max="7684" width="13.44140625" style="1" customWidth="1"/>
    <col min="7685" max="7685" width="13.77734375" style="1" customWidth="1"/>
    <col min="7686" max="7686" width="14.44140625" style="1" customWidth="1"/>
    <col min="7687" max="7687" width="1.44140625" style="1" customWidth="1"/>
    <col min="7688" max="7689" width="11" style="1" customWidth="1"/>
    <col min="7690" max="7690" width="10.109375" style="1" customWidth="1"/>
    <col min="7691" max="7691" width="1.44140625" style="1" customWidth="1"/>
    <col min="7692" max="7692" width="12.77734375" style="1" customWidth="1"/>
    <col min="7693" max="7693" width="1.44140625" style="1" customWidth="1"/>
    <col min="7694" max="7694" width="13.109375" style="1" customWidth="1"/>
    <col min="7695" max="7698" width="11.44140625" style="1"/>
    <col min="7699" max="7699" width="1.44140625" style="1" customWidth="1"/>
    <col min="7700" max="7700" width="12.109375" style="1" customWidth="1"/>
    <col min="7701" max="7701" width="11.44140625" style="1"/>
    <col min="7702" max="7702" width="0" style="1" hidden="1" customWidth="1"/>
    <col min="7703" max="7935" width="11.44140625" style="1"/>
    <col min="7936" max="7936" width="4.44140625" style="1" customWidth="1"/>
    <col min="7937" max="7937" width="27.44140625" style="1" customWidth="1"/>
    <col min="7938" max="7938" width="13.44140625" style="1" customWidth="1"/>
    <col min="7939" max="7939" width="2" style="1" customWidth="1"/>
    <col min="7940" max="7940" width="13.44140625" style="1" customWidth="1"/>
    <col min="7941" max="7941" width="13.77734375" style="1" customWidth="1"/>
    <col min="7942" max="7942" width="14.44140625" style="1" customWidth="1"/>
    <col min="7943" max="7943" width="1.44140625" style="1" customWidth="1"/>
    <col min="7944" max="7945" width="11" style="1" customWidth="1"/>
    <col min="7946" max="7946" width="10.109375" style="1" customWidth="1"/>
    <col min="7947" max="7947" width="1.44140625" style="1" customWidth="1"/>
    <col min="7948" max="7948" width="12.77734375" style="1" customWidth="1"/>
    <col min="7949" max="7949" width="1.44140625" style="1" customWidth="1"/>
    <col min="7950" max="7950" width="13.109375" style="1" customWidth="1"/>
    <col min="7951" max="7954" width="11.44140625" style="1"/>
    <col min="7955" max="7955" width="1.44140625" style="1" customWidth="1"/>
    <col min="7956" max="7956" width="12.109375" style="1" customWidth="1"/>
    <col min="7957" max="7957" width="11.44140625" style="1"/>
    <col min="7958" max="7958" width="0" style="1" hidden="1" customWidth="1"/>
    <col min="7959" max="8191" width="11.44140625" style="1"/>
    <col min="8192" max="8192" width="4.44140625" style="1" customWidth="1"/>
    <col min="8193" max="8193" width="27.44140625" style="1" customWidth="1"/>
    <col min="8194" max="8194" width="13.44140625" style="1" customWidth="1"/>
    <col min="8195" max="8195" width="2" style="1" customWidth="1"/>
    <col min="8196" max="8196" width="13.44140625" style="1" customWidth="1"/>
    <col min="8197" max="8197" width="13.77734375" style="1" customWidth="1"/>
    <col min="8198" max="8198" width="14.44140625" style="1" customWidth="1"/>
    <col min="8199" max="8199" width="1.44140625" style="1" customWidth="1"/>
    <col min="8200" max="8201" width="11" style="1" customWidth="1"/>
    <col min="8202" max="8202" width="10.109375" style="1" customWidth="1"/>
    <col min="8203" max="8203" width="1.44140625" style="1" customWidth="1"/>
    <col min="8204" max="8204" width="12.77734375" style="1" customWidth="1"/>
    <col min="8205" max="8205" width="1.44140625" style="1" customWidth="1"/>
    <col min="8206" max="8206" width="13.109375" style="1" customWidth="1"/>
    <col min="8207" max="8210" width="11.44140625" style="1"/>
    <col min="8211" max="8211" width="1.44140625" style="1" customWidth="1"/>
    <col min="8212" max="8212" width="12.109375" style="1" customWidth="1"/>
    <col min="8213" max="8213" width="11.44140625" style="1"/>
    <col min="8214" max="8214" width="0" style="1" hidden="1" customWidth="1"/>
    <col min="8215" max="8447" width="11.44140625" style="1"/>
    <col min="8448" max="8448" width="4.44140625" style="1" customWidth="1"/>
    <col min="8449" max="8449" width="27.44140625" style="1" customWidth="1"/>
    <col min="8450" max="8450" width="13.44140625" style="1" customWidth="1"/>
    <col min="8451" max="8451" width="2" style="1" customWidth="1"/>
    <col min="8452" max="8452" width="13.44140625" style="1" customWidth="1"/>
    <col min="8453" max="8453" width="13.77734375" style="1" customWidth="1"/>
    <col min="8454" max="8454" width="14.44140625" style="1" customWidth="1"/>
    <col min="8455" max="8455" width="1.44140625" style="1" customWidth="1"/>
    <col min="8456" max="8457" width="11" style="1" customWidth="1"/>
    <col min="8458" max="8458" width="10.109375" style="1" customWidth="1"/>
    <col min="8459" max="8459" width="1.44140625" style="1" customWidth="1"/>
    <col min="8460" max="8460" width="12.77734375" style="1" customWidth="1"/>
    <col min="8461" max="8461" width="1.44140625" style="1" customWidth="1"/>
    <col min="8462" max="8462" width="13.109375" style="1" customWidth="1"/>
    <col min="8463" max="8466" width="11.44140625" style="1"/>
    <col min="8467" max="8467" width="1.44140625" style="1" customWidth="1"/>
    <col min="8468" max="8468" width="12.109375" style="1" customWidth="1"/>
    <col min="8469" max="8469" width="11.44140625" style="1"/>
    <col min="8470" max="8470" width="0" style="1" hidden="1" customWidth="1"/>
    <col min="8471" max="8703" width="11.44140625" style="1"/>
    <col min="8704" max="8704" width="4.44140625" style="1" customWidth="1"/>
    <col min="8705" max="8705" width="27.44140625" style="1" customWidth="1"/>
    <col min="8706" max="8706" width="13.44140625" style="1" customWidth="1"/>
    <col min="8707" max="8707" width="2" style="1" customWidth="1"/>
    <col min="8708" max="8708" width="13.44140625" style="1" customWidth="1"/>
    <col min="8709" max="8709" width="13.77734375" style="1" customWidth="1"/>
    <col min="8710" max="8710" width="14.44140625" style="1" customWidth="1"/>
    <col min="8711" max="8711" width="1.44140625" style="1" customWidth="1"/>
    <col min="8712" max="8713" width="11" style="1" customWidth="1"/>
    <col min="8714" max="8714" width="10.109375" style="1" customWidth="1"/>
    <col min="8715" max="8715" width="1.44140625" style="1" customWidth="1"/>
    <col min="8716" max="8716" width="12.77734375" style="1" customWidth="1"/>
    <col min="8717" max="8717" width="1.44140625" style="1" customWidth="1"/>
    <col min="8718" max="8718" width="13.109375" style="1" customWidth="1"/>
    <col min="8719" max="8722" width="11.44140625" style="1"/>
    <col min="8723" max="8723" width="1.44140625" style="1" customWidth="1"/>
    <col min="8724" max="8724" width="12.109375" style="1" customWidth="1"/>
    <col min="8725" max="8725" width="11.44140625" style="1"/>
    <col min="8726" max="8726" width="0" style="1" hidden="1" customWidth="1"/>
    <col min="8727" max="8959" width="11.44140625" style="1"/>
    <col min="8960" max="8960" width="4.44140625" style="1" customWidth="1"/>
    <col min="8961" max="8961" width="27.44140625" style="1" customWidth="1"/>
    <col min="8962" max="8962" width="13.44140625" style="1" customWidth="1"/>
    <col min="8963" max="8963" width="2" style="1" customWidth="1"/>
    <col min="8964" max="8964" width="13.44140625" style="1" customWidth="1"/>
    <col min="8965" max="8965" width="13.77734375" style="1" customWidth="1"/>
    <col min="8966" max="8966" width="14.44140625" style="1" customWidth="1"/>
    <col min="8967" max="8967" width="1.44140625" style="1" customWidth="1"/>
    <col min="8968" max="8969" width="11" style="1" customWidth="1"/>
    <col min="8970" max="8970" width="10.109375" style="1" customWidth="1"/>
    <col min="8971" max="8971" width="1.44140625" style="1" customWidth="1"/>
    <col min="8972" max="8972" width="12.77734375" style="1" customWidth="1"/>
    <col min="8973" max="8973" width="1.44140625" style="1" customWidth="1"/>
    <col min="8974" max="8974" width="13.109375" style="1" customWidth="1"/>
    <col min="8975" max="8978" width="11.44140625" style="1"/>
    <col min="8979" max="8979" width="1.44140625" style="1" customWidth="1"/>
    <col min="8980" max="8980" width="12.109375" style="1" customWidth="1"/>
    <col min="8981" max="8981" width="11.44140625" style="1"/>
    <col min="8982" max="8982" width="0" style="1" hidden="1" customWidth="1"/>
    <col min="8983" max="9215" width="11.44140625" style="1"/>
    <col min="9216" max="9216" width="4.44140625" style="1" customWidth="1"/>
    <col min="9217" max="9217" width="27.44140625" style="1" customWidth="1"/>
    <col min="9218" max="9218" width="13.44140625" style="1" customWidth="1"/>
    <col min="9219" max="9219" width="2" style="1" customWidth="1"/>
    <col min="9220" max="9220" width="13.44140625" style="1" customWidth="1"/>
    <col min="9221" max="9221" width="13.77734375" style="1" customWidth="1"/>
    <col min="9222" max="9222" width="14.44140625" style="1" customWidth="1"/>
    <col min="9223" max="9223" width="1.44140625" style="1" customWidth="1"/>
    <col min="9224" max="9225" width="11" style="1" customWidth="1"/>
    <col min="9226" max="9226" width="10.109375" style="1" customWidth="1"/>
    <col min="9227" max="9227" width="1.44140625" style="1" customWidth="1"/>
    <col min="9228" max="9228" width="12.77734375" style="1" customWidth="1"/>
    <col min="9229" max="9229" width="1.44140625" style="1" customWidth="1"/>
    <col min="9230" max="9230" width="13.109375" style="1" customWidth="1"/>
    <col min="9231" max="9234" width="11.44140625" style="1"/>
    <col min="9235" max="9235" width="1.44140625" style="1" customWidth="1"/>
    <col min="9236" max="9236" width="12.109375" style="1" customWidth="1"/>
    <col min="9237" max="9237" width="11.44140625" style="1"/>
    <col min="9238" max="9238" width="0" style="1" hidden="1" customWidth="1"/>
    <col min="9239" max="9471" width="11.44140625" style="1"/>
    <col min="9472" max="9472" width="4.44140625" style="1" customWidth="1"/>
    <col min="9473" max="9473" width="27.44140625" style="1" customWidth="1"/>
    <col min="9474" max="9474" width="13.44140625" style="1" customWidth="1"/>
    <col min="9475" max="9475" width="2" style="1" customWidth="1"/>
    <col min="9476" max="9476" width="13.44140625" style="1" customWidth="1"/>
    <col min="9477" max="9477" width="13.77734375" style="1" customWidth="1"/>
    <col min="9478" max="9478" width="14.44140625" style="1" customWidth="1"/>
    <col min="9479" max="9479" width="1.44140625" style="1" customWidth="1"/>
    <col min="9480" max="9481" width="11" style="1" customWidth="1"/>
    <col min="9482" max="9482" width="10.109375" style="1" customWidth="1"/>
    <col min="9483" max="9483" width="1.44140625" style="1" customWidth="1"/>
    <col min="9484" max="9484" width="12.77734375" style="1" customWidth="1"/>
    <col min="9485" max="9485" width="1.44140625" style="1" customWidth="1"/>
    <col min="9486" max="9486" width="13.109375" style="1" customWidth="1"/>
    <col min="9487" max="9490" width="11.44140625" style="1"/>
    <col min="9491" max="9491" width="1.44140625" style="1" customWidth="1"/>
    <col min="9492" max="9492" width="12.109375" style="1" customWidth="1"/>
    <col min="9493" max="9493" width="11.44140625" style="1"/>
    <col min="9494" max="9494" width="0" style="1" hidden="1" customWidth="1"/>
    <col min="9495" max="9727" width="11.44140625" style="1"/>
    <col min="9728" max="9728" width="4.44140625" style="1" customWidth="1"/>
    <col min="9729" max="9729" width="27.44140625" style="1" customWidth="1"/>
    <col min="9730" max="9730" width="13.44140625" style="1" customWidth="1"/>
    <col min="9731" max="9731" width="2" style="1" customWidth="1"/>
    <col min="9732" max="9732" width="13.44140625" style="1" customWidth="1"/>
    <col min="9733" max="9733" width="13.77734375" style="1" customWidth="1"/>
    <col min="9734" max="9734" width="14.44140625" style="1" customWidth="1"/>
    <col min="9735" max="9735" width="1.44140625" style="1" customWidth="1"/>
    <col min="9736" max="9737" width="11" style="1" customWidth="1"/>
    <col min="9738" max="9738" width="10.109375" style="1" customWidth="1"/>
    <col min="9739" max="9739" width="1.44140625" style="1" customWidth="1"/>
    <col min="9740" max="9740" width="12.77734375" style="1" customWidth="1"/>
    <col min="9741" max="9741" width="1.44140625" style="1" customWidth="1"/>
    <col min="9742" max="9742" width="13.109375" style="1" customWidth="1"/>
    <col min="9743" max="9746" width="11.44140625" style="1"/>
    <col min="9747" max="9747" width="1.44140625" style="1" customWidth="1"/>
    <col min="9748" max="9748" width="12.109375" style="1" customWidth="1"/>
    <col min="9749" max="9749" width="11.44140625" style="1"/>
    <col min="9750" max="9750" width="0" style="1" hidden="1" customWidth="1"/>
    <col min="9751" max="9983" width="11.44140625" style="1"/>
    <col min="9984" max="9984" width="4.44140625" style="1" customWidth="1"/>
    <col min="9985" max="9985" width="27.44140625" style="1" customWidth="1"/>
    <col min="9986" max="9986" width="13.44140625" style="1" customWidth="1"/>
    <col min="9987" max="9987" width="2" style="1" customWidth="1"/>
    <col min="9988" max="9988" width="13.44140625" style="1" customWidth="1"/>
    <col min="9989" max="9989" width="13.77734375" style="1" customWidth="1"/>
    <col min="9990" max="9990" width="14.44140625" style="1" customWidth="1"/>
    <col min="9991" max="9991" width="1.44140625" style="1" customWidth="1"/>
    <col min="9992" max="9993" width="11" style="1" customWidth="1"/>
    <col min="9994" max="9994" width="10.109375" style="1" customWidth="1"/>
    <col min="9995" max="9995" width="1.44140625" style="1" customWidth="1"/>
    <col min="9996" max="9996" width="12.77734375" style="1" customWidth="1"/>
    <col min="9997" max="9997" width="1.44140625" style="1" customWidth="1"/>
    <col min="9998" max="9998" width="13.109375" style="1" customWidth="1"/>
    <col min="9999" max="10002" width="11.44140625" style="1"/>
    <col min="10003" max="10003" width="1.44140625" style="1" customWidth="1"/>
    <col min="10004" max="10004" width="12.109375" style="1" customWidth="1"/>
    <col min="10005" max="10005" width="11.44140625" style="1"/>
    <col min="10006" max="10006" width="0" style="1" hidden="1" customWidth="1"/>
    <col min="10007" max="10239" width="11.44140625" style="1"/>
    <col min="10240" max="10240" width="4.44140625" style="1" customWidth="1"/>
    <col min="10241" max="10241" width="27.44140625" style="1" customWidth="1"/>
    <col min="10242" max="10242" width="13.44140625" style="1" customWidth="1"/>
    <col min="10243" max="10243" width="2" style="1" customWidth="1"/>
    <col min="10244" max="10244" width="13.44140625" style="1" customWidth="1"/>
    <col min="10245" max="10245" width="13.77734375" style="1" customWidth="1"/>
    <col min="10246" max="10246" width="14.44140625" style="1" customWidth="1"/>
    <col min="10247" max="10247" width="1.44140625" style="1" customWidth="1"/>
    <col min="10248" max="10249" width="11" style="1" customWidth="1"/>
    <col min="10250" max="10250" width="10.109375" style="1" customWidth="1"/>
    <col min="10251" max="10251" width="1.44140625" style="1" customWidth="1"/>
    <col min="10252" max="10252" width="12.77734375" style="1" customWidth="1"/>
    <col min="10253" max="10253" width="1.44140625" style="1" customWidth="1"/>
    <col min="10254" max="10254" width="13.109375" style="1" customWidth="1"/>
    <col min="10255" max="10258" width="11.44140625" style="1"/>
    <col min="10259" max="10259" width="1.44140625" style="1" customWidth="1"/>
    <col min="10260" max="10260" width="12.109375" style="1" customWidth="1"/>
    <col min="10261" max="10261" width="11.44140625" style="1"/>
    <col min="10262" max="10262" width="0" style="1" hidden="1" customWidth="1"/>
    <col min="10263" max="10495" width="11.44140625" style="1"/>
    <col min="10496" max="10496" width="4.44140625" style="1" customWidth="1"/>
    <col min="10497" max="10497" width="27.44140625" style="1" customWidth="1"/>
    <col min="10498" max="10498" width="13.44140625" style="1" customWidth="1"/>
    <col min="10499" max="10499" width="2" style="1" customWidth="1"/>
    <col min="10500" max="10500" width="13.44140625" style="1" customWidth="1"/>
    <col min="10501" max="10501" width="13.77734375" style="1" customWidth="1"/>
    <col min="10502" max="10502" width="14.44140625" style="1" customWidth="1"/>
    <col min="10503" max="10503" width="1.44140625" style="1" customWidth="1"/>
    <col min="10504" max="10505" width="11" style="1" customWidth="1"/>
    <col min="10506" max="10506" width="10.109375" style="1" customWidth="1"/>
    <col min="10507" max="10507" width="1.44140625" style="1" customWidth="1"/>
    <col min="10508" max="10508" width="12.77734375" style="1" customWidth="1"/>
    <col min="10509" max="10509" width="1.44140625" style="1" customWidth="1"/>
    <col min="10510" max="10510" width="13.109375" style="1" customWidth="1"/>
    <col min="10511" max="10514" width="11.44140625" style="1"/>
    <col min="10515" max="10515" width="1.44140625" style="1" customWidth="1"/>
    <col min="10516" max="10516" width="12.109375" style="1" customWidth="1"/>
    <col min="10517" max="10517" width="11.44140625" style="1"/>
    <col min="10518" max="10518" width="0" style="1" hidden="1" customWidth="1"/>
    <col min="10519" max="10751" width="11.44140625" style="1"/>
    <col min="10752" max="10752" width="4.44140625" style="1" customWidth="1"/>
    <col min="10753" max="10753" width="27.44140625" style="1" customWidth="1"/>
    <col min="10754" max="10754" width="13.44140625" style="1" customWidth="1"/>
    <col min="10755" max="10755" width="2" style="1" customWidth="1"/>
    <col min="10756" max="10756" width="13.44140625" style="1" customWidth="1"/>
    <col min="10757" max="10757" width="13.77734375" style="1" customWidth="1"/>
    <col min="10758" max="10758" width="14.44140625" style="1" customWidth="1"/>
    <col min="10759" max="10759" width="1.44140625" style="1" customWidth="1"/>
    <col min="10760" max="10761" width="11" style="1" customWidth="1"/>
    <col min="10762" max="10762" width="10.109375" style="1" customWidth="1"/>
    <col min="10763" max="10763" width="1.44140625" style="1" customWidth="1"/>
    <col min="10764" max="10764" width="12.77734375" style="1" customWidth="1"/>
    <col min="10765" max="10765" width="1.44140625" style="1" customWidth="1"/>
    <col min="10766" max="10766" width="13.109375" style="1" customWidth="1"/>
    <col min="10767" max="10770" width="11.44140625" style="1"/>
    <col min="10771" max="10771" width="1.44140625" style="1" customWidth="1"/>
    <col min="10772" max="10772" width="12.109375" style="1" customWidth="1"/>
    <col min="10773" max="10773" width="11.44140625" style="1"/>
    <col min="10774" max="10774" width="0" style="1" hidden="1" customWidth="1"/>
    <col min="10775" max="11007" width="11.44140625" style="1"/>
    <col min="11008" max="11008" width="4.44140625" style="1" customWidth="1"/>
    <col min="11009" max="11009" width="27.44140625" style="1" customWidth="1"/>
    <col min="11010" max="11010" width="13.44140625" style="1" customWidth="1"/>
    <col min="11011" max="11011" width="2" style="1" customWidth="1"/>
    <col min="11012" max="11012" width="13.44140625" style="1" customWidth="1"/>
    <col min="11013" max="11013" width="13.77734375" style="1" customWidth="1"/>
    <col min="11014" max="11014" width="14.44140625" style="1" customWidth="1"/>
    <col min="11015" max="11015" width="1.44140625" style="1" customWidth="1"/>
    <col min="11016" max="11017" width="11" style="1" customWidth="1"/>
    <col min="11018" max="11018" width="10.109375" style="1" customWidth="1"/>
    <col min="11019" max="11019" width="1.44140625" style="1" customWidth="1"/>
    <col min="11020" max="11020" width="12.77734375" style="1" customWidth="1"/>
    <col min="11021" max="11021" width="1.44140625" style="1" customWidth="1"/>
    <col min="11022" max="11022" width="13.109375" style="1" customWidth="1"/>
    <col min="11023" max="11026" width="11.44140625" style="1"/>
    <col min="11027" max="11027" width="1.44140625" style="1" customWidth="1"/>
    <col min="11028" max="11028" width="12.109375" style="1" customWidth="1"/>
    <col min="11029" max="11029" width="11.44140625" style="1"/>
    <col min="11030" max="11030" width="0" style="1" hidden="1" customWidth="1"/>
    <col min="11031" max="11263" width="11.44140625" style="1"/>
    <col min="11264" max="11264" width="4.44140625" style="1" customWidth="1"/>
    <col min="11265" max="11265" width="27.44140625" style="1" customWidth="1"/>
    <col min="11266" max="11266" width="13.44140625" style="1" customWidth="1"/>
    <col min="11267" max="11267" width="2" style="1" customWidth="1"/>
    <col min="11268" max="11268" width="13.44140625" style="1" customWidth="1"/>
    <col min="11269" max="11269" width="13.77734375" style="1" customWidth="1"/>
    <col min="11270" max="11270" width="14.44140625" style="1" customWidth="1"/>
    <col min="11271" max="11271" width="1.44140625" style="1" customWidth="1"/>
    <col min="11272" max="11273" width="11" style="1" customWidth="1"/>
    <col min="11274" max="11274" width="10.109375" style="1" customWidth="1"/>
    <col min="11275" max="11275" width="1.44140625" style="1" customWidth="1"/>
    <col min="11276" max="11276" width="12.77734375" style="1" customWidth="1"/>
    <col min="11277" max="11277" width="1.44140625" style="1" customWidth="1"/>
    <col min="11278" max="11278" width="13.109375" style="1" customWidth="1"/>
    <col min="11279" max="11282" width="11.44140625" style="1"/>
    <col min="11283" max="11283" width="1.44140625" style="1" customWidth="1"/>
    <col min="11284" max="11284" width="12.109375" style="1" customWidth="1"/>
    <col min="11285" max="11285" width="11.44140625" style="1"/>
    <col min="11286" max="11286" width="0" style="1" hidden="1" customWidth="1"/>
    <col min="11287" max="11519" width="11.44140625" style="1"/>
    <col min="11520" max="11520" width="4.44140625" style="1" customWidth="1"/>
    <col min="11521" max="11521" width="27.44140625" style="1" customWidth="1"/>
    <col min="11522" max="11522" width="13.44140625" style="1" customWidth="1"/>
    <col min="11523" max="11523" width="2" style="1" customWidth="1"/>
    <col min="11524" max="11524" width="13.44140625" style="1" customWidth="1"/>
    <col min="11525" max="11525" width="13.77734375" style="1" customWidth="1"/>
    <col min="11526" max="11526" width="14.44140625" style="1" customWidth="1"/>
    <col min="11527" max="11527" width="1.44140625" style="1" customWidth="1"/>
    <col min="11528" max="11529" width="11" style="1" customWidth="1"/>
    <col min="11530" max="11530" width="10.109375" style="1" customWidth="1"/>
    <col min="11531" max="11531" width="1.44140625" style="1" customWidth="1"/>
    <col min="11532" max="11532" width="12.77734375" style="1" customWidth="1"/>
    <col min="11533" max="11533" width="1.44140625" style="1" customWidth="1"/>
    <col min="11534" max="11534" width="13.109375" style="1" customWidth="1"/>
    <col min="11535" max="11538" width="11.44140625" style="1"/>
    <col min="11539" max="11539" width="1.44140625" style="1" customWidth="1"/>
    <col min="11540" max="11540" width="12.109375" style="1" customWidth="1"/>
    <col min="11541" max="11541" width="11.44140625" style="1"/>
    <col min="11542" max="11542" width="0" style="1" hidden="1" customWidth="1"/>
    <col min="11543" max="11775" width="11.44140625" style="1"/>
    <col min="11776" max="11776" width="4.44140625" style="1" customWidth="1"/>
    <col min="11777" max="11777" width="27.44140625" style="1" customWidth="1"/>
    <col min="11778" max="11778" width="13.44140625" style="1" customWidth="1"/>
    <col min="11779" max="11779" width="2" style="1" customWidth="1"/>
    <col min="11780" max="11780" width="13.44140625" style="1" customWidth="1"/>
    <col min="11781" max="11781" width="13.77734375" style="1" customWidth="1"/>
    <col min="11782" max="11782" width="14.44140625" style="1" customWidth="1"/>
    <col min="11783" max="11783" width="1.44140625" style="1" customWidth="1"/>
    <col min="11784" max="11785" width="11" style="1" customWidth="1"/>
    <col min="11786" max="11786" width="10.109375" style="1" customWidth="1"/>
    <col min="11787" max="11787" width="1.44140625" style="1" customWidth="1"/>
    <col min="11788" max="11788" width="12.77734375" style="1" customWidth="1"/>
    <col min="11789" max="11789" width="1.44140625" style="1" customWidth="1"/>
    <col min="11790" max="11790" width="13.109375" style="1" customWidth="1"/>
    <col min="11791" max="11794" width="11.44140625" style="1"/>
    <col min="11795" max="11795" width="1.44140625" style="1" customWidth="1"/>
    <col min="11796" max="11796" width="12.109375" style="1" customWidth="1"/>
    <col min="11797" max="11797" width="11.44140625" style="1"/>
    <col min="11798" max="11798" width="0" style="1" hidden="1" customWidth="1"/>
    <col min="11799" max="12031" width="11.44140625" style="1"/>
    <col min="12032" max="12032" width="4.44140625" style="1" customWidth="1"/>
    <col min="12033" max="12033" width="27.44140625" style="1" customWidth="1"/>
    <col min="12034" max="12034" width="13.44140625" style="1" customWidth="1"/>
    <col min="12035" max="12035" width="2" style="1" customWidth="1"/>
    <col min="12036" max="12036" width="13.44140625" style="1" customWidth="1"/>
    <col min="12037" max="12037" width="13.77734375" style="1" customWidth="1"/>
    <col min="12038" max="12038" width="14.44140625" style="1" customWidth="1"/>
    <col min="12039" max="12039" width="1.44140625" style="1" customWidth="1"/>
    <col min="12040" max="12041" width="11" style="1" customWidth="1"/>
    <col min="12042" max="12042" width="10.109375" style="1" customWidth="1"/>
    <col min="12043" max="12043" width="1.44140625" style="1" customWidth="1"/>
    <col min="12044" max="12044" width="12.77734375" style="1" customWidth="1"/>
    <col min="12045" max="12045" width="1.44140625" style="1" customWidth="1"/>
    <col min="12046" max="12046" width="13.109375" style="1" customWidth="1"/>
    <col min="12047" max="12050" width="11.44140625" style="1"/>
    <col min="12051" max="12051" width="1.44140625" style="1" customWidth="1"/>
    <col min="12052" max="12052" width="12.109375" style="1" customWidth="1"/>
    <col min="12053" max="12053" width="11.44140625" style="1"/>
    <col min="12054" max="12054" width="0" style="1" hidden="1" customWidth="1"/>
    <col min="12055" max="12287" width="11.44140625" style="1"/>
    <col min="12288" max="12288" width="4.44140625" style="1" customWidth="1"/>
    <col min="12289" max="12289" width="27.44140625" style="1" customWidth="1"/>
    <col min="12290" max="12290" width="13.44140625" style="1" customWidth="1"/>
    <col min="12291" max="12291" width="2" style="1" customWidth="1"/>
    <col min="12292" max="12292" width="13.44140625" style="1" customWidth="1"/>
    <col min="12293" max="12293" width="13.77734375" style="1" customWidth="1"/>
    <col min="12294" max="12294" width="14.44140625" style="1" customWidth="1"/>
    <col min="12295" max="12295" width="1.44140625" style="1" customWidth="1"/>
    <col min="12296" max="12297" width="11" style="1" customWidth="1"/>
    <col min="12298" max="12298" width="10.109375" style="1" customWidth="1"/>
    <col min="12299" max="12299" width="1.44140625" style="1" customWidth="1"/>
    <col min="12300" max="12300" width="12.77734375" style="1" customWidth="1"/>
    <col min="12301" max="12301" width="1.44140625" style="1" customWidth="1"/>
    <col min="12302" max="12302" width="13.109375" style="1" customWidth="1"/>
    <col min="12303" max="12306" width="11.44140625" style="1"/>
    <col min="12307" max="12307" width="1.44140625" style="1" customWidth="1"/>
    <col min="12308" max="12308" width="12.109375" style="1" customWidth="1"/>
    <col min="12309" max="12309" width="11.44140625" style="1"/>
    <col min="12310" max="12310" width="0" style="1" hidden="1" customWidth="1"/>
    <col min="12311" max="12543" width="11.44140625" style="1"/>
    <col min="12544" max="12544" width="4.44140625" style="1" customWidth="1"/>
    <col min="12545" max="12545" width="27.44140625" style="1" customWidth="1"/>
    <col min="12546" max="12546" width="13.44140625" style="1" customWidth="1"/>
    <col min="12547" max="12547" width="2" style="1" customWidth="1"/>
    <col min="12548" max="12548" width="13.44140625" style="1" customWidth="1"/>
    <col min="12549" max="12549" width="13.77734375" style="1" customWidth="1"/>
    <col min="12550" max="12550" width="14.44140625" style="1" customWidth="1"/>
    <col min="12551" max="12551" width="1.44140625" style="1" customWidth="1"/>
    <col min="12552" max="12553" width="11" style="1" customWidth="1"/>
    <col min="12554" max="12554" width="10.109375" style="1" customWidth="1"/>
    <col min="12555" max="12555" width="1.44140625" style="1" customWidth="1"/>
    <col min="12556" max="12556" width="12.77734375" style="1" customWidth="1"/>
    <col min="12557" max="12557" width="1.44140625" style="1" customWidth="1"/>
    <col min="12558" max="12558" width="13.109375" style="1" customWidth="1"/>
    <col min="12559" max="12562" width="11.44140625" style="1"/>
    <col min="12563" max="12563" width="1.44140625" style="1" customWidth="1"/>
    <col min="12564" max="12564" width="12.109375" style="1" customWidth="1"/>
    <col min="12565" max="12565" width="11.44140625" style="1"/>
    <col min="12566" max="12566" width="0" style="1" hidden="1" customWidth="1"/>
    <col min="12567" max="12799" width="11.44140625" style="1"/>
    <col min="12800" max="12800" width="4.44140625" style="1" customWidth="1"/>
    <col min="12801" max="12801" width="27.44140625" style="1" customWidth="1"/>
    <col min="12802" max="12802" width="13.44140625" style="1" customWidth="1"/>
    <col min="12803" max="12803" width="2" style="1" customWidth="1"/>
    <col min="12804" max="12804" width="13.44140625" style="1" customWidth="1"/>
    <col min="12805" max="12805" width="13.77734375" style="1" customWidth="1"/>
    <col min="12806" max="12806" width="14.44140625" style="1" customWidth="1"/>
    <col min="12807" max="12807" width="1.44140625" style="1" customWidth="1"/>
    <col min="12808" max="12809" width="11" style="1" customWidth="1"/>
    <col min="12810" max="12810" width="10.109375" style="1" customWidth="1"/>
    <col min="12811" max="12811" width="1.44140625" style="1" customWidth="1"/>
    <col min="12812" max="12812" width="12.77734375" style="1" customWidth="1"/>
    <col min="12813" max="12813" width="1.44140625" style="1" customWidth="1"/>
    <col min="12814" max="12814" width="13.109375" style="1" customWidth="1"/>
    <col min="12815" max="12818" width="11.44140625" style="1"/>
    <col min="12819" max="12819" width="1.44140625" style="1" customWidth="1"/>
    <col min="12820" max="12820" width="12.109375" style="1" customWidth="1"/>
    <col min="12821" max="12821" width="11.44140625" style="1"/>
    <col min="12822" max="12822" width="0" style="1" hidden="1" customWidth="1"/>
    <col min="12823" max="13055" width="11.44140625" style="1"/>
    <col min="13056" max="13056" width="4.44140625" style="1" customWidth="1"/>
    <col min="13057" max="13057" width="27.44140625" style="1" customWidth="1"/>
    <col min="13058" max="13058" width="13.44140625" style="1" customWidth="1"/>
    <col min="13059" max="13059" width="2" style="1" customWidth="1"/>
    <col min="13060" max="13060" width="13.44140625" style="1" customWidth="1"/>
    <col min="13061" max="13061" width="13.77734375" style="1" customWidth="1"/>
    <col min="13062" max="13062" width="14.44140625" style="1" customWidth="1"/>
    <col min="13063" max="13063" width="1.44140625" style="1" customWidth="1"/>
    <col min="13064" max="13065" width="11" style="1" customWidth="1"/>
    <col min="13066" max="13066" width="10.109375" style="1" customWidth="1"/>
    <col min="13067" max="13067" width="1.44140625" style="1" customWidth="1"/>
    <col min="13068" max="13068" width="12.77734375" style="1" customWidth="1"/>
    <col min="13069" max="13069" width="1.44140625" style="1" customWidth="1"/>
    <col min="13070" max="13070" width="13.109375" style="1" customWidth="1"/>
    <col min="13071" max="13074" width="11.44140625" style="1"/>
    <col min="13075" max="13075" width="1.44140625" style="1" customWidth="1"/>
    <col min="13076" max="13076" width="12.109375" style="1" customWidth="1"/>
    <col min="13077" max="13077" width="11.44140625" style="1"/>
    <col min="13078" max="13078" width="0" style="1" hidden="1" customWidth="1"/>
    <col min="13079" max="13311" width="11.44140625" style="1"/>
    <col min="13312" max="13312" width="4.44140625" style="1" customWidth="1"/>
    <col min="13313" max="13313" width="27.44140625" style="1" customWidth="1"/>
    <col min="13314" max="13314" width="13.44140625" style="1" customWidth="1"/>
    <col min="13315" max="13315" width="2" style="1" customWidth="1"/>
    <col min="13316" max="13316" width="13.44140625" style="1" customWidth="1"/>
    <col min="13317" max="13317" width="13.77734375" style="1" customWidth="1"/>
    <col min="13318" max="13318" width="14.44140625" style="1" customWidth="1"/>
    <col min="13319" max="13319" width="1.44140625" style="1" customWidth="1"/>
    <col min="13320" max="13321" width="11" style="1" customWidth="1"/>
    <col min="13322" max="13322" width="10.109375" style="1" customWidth="1"/>
    <col min="13323" max="13323" width="1.44140625" style="1" customWidth="1"/>
    <col min="13324" max="13324" width="12.77734375" style="1" customWidth="1"/>
    <col min="13325" max="13325" width="1.44140625" style="1" customWidth="1"/>
    <col min="13326" max="13326" width="13.109375" style="1" customWidth="1"/>
    <col min="13327" max="13330" width="11.44140625" style="1"/>
    <col min="13331" max="13331" width="1.44140625" style="1" customWidth="1"/>
    <col min="13332" max="13332" width="12.109375" style="1" customWidth="1"/>
    <col min="13333" max="13333" width="11.44140625" style="1"/>
    <col min="13334" max="13334" width="0" style="1" hidden="1" customWidth="1"/>
    <col min="13335" max="13567" width="11.44140625" style="1"/>
    <col min="13568" max="13568" width="4.44140625" style="1" customWidth="1"/>
    <col min="13569" max="13569" width="27.44140625" style="1" customWidth="1"/>
    <col min="13570" max="13570" width="13.44140625" style="1" customWidth="1"/>
    <col min="13571" max="13571" width="2" style="1" customWidth="1"/>
    <col min="13572" max="13572" width="13.44140625" style="1" customWidth="1"/>
    <col min="13573" max="13573" width="13.77734375" style="1" customWidth="1"/>
    <col min="13574" max="13574" width="14.44140625" style="1" customWidth="1"/>
    <col min="13575" max="13575" width="1.44140625" style="1" customWidth="1"/>
    <col min="13576" max="13577" width="11" style="1" customWidth="1"/>
    <col min="13578" max="13578" width="10.109375" style="1" customWidth="1"/>
    <col min="13579" max="13579" width="1.44140625" style="1" customWidth="1"/>
    <col min="13580" max="13580" width="12.77734375" style="1" customWidth="1"/>
    <col min="13581" max="13581" width="1.44140625" style="1" customWidth="1"/>
    <col min="13582" max="13582" width="13.109375" style="1" customWidth="1"/>
    <col min="13583" max="13586" width="11.44140625" style="1"/>
    <col min="13587" max="13587" width="1.44140625" style="1" customWidth="1"/>
    <col min="13588" max="13588" width="12.109375" style="1" customWidth="1"/>
    <col min="13589" max="13589" width="11.44140625" style="1"/>
    <col min="13590" max="13590" width="0" style="1" hidden="1" customWidth="1"/>
    <col min="13591" max="13823" width="11.44140625" style="1"/>
    <col min="13824" max="13824" width="4.44140625" style="1" customWidth="1"/>
    <col min="13825" max="13825" width="27.44140625" style="1" customWidth="1"/>
    <col min="13826" max="13826" width="13.44140625" style="1" customWidth="1"/>
    <col min="13827" max="13827" width="2" style="1" customWidth="1"/>
    <col min="13828" max="13828" width="13.44140625" style="1" customWidth="1"/>
    <col min="13829" max="13829" width="13.77734375" style="1" customWidth="1"/>
    <col min="13830" max="13830" width="14.44140625" style="1" customWidth="1"/>
    <col min="13831" max="13831" width="1.44140625" style="1" customWidth="1"/>
    <col min="13832" max="13833" width="11" style="1" customWidth="1"/>
    <col min="13834" max="13834" width="10.109375" style="1" customWidth="1"/>
    <col min="13835" max="13835" width="1.44140625" style="1" customWidth="1"/>
    <col min="13836" max="13836" width="12.77734375" style="1" customWidth="1"/>
    <col min="13837" max="13837" width="1.44140625" style="1" customWidth="1"/>
    <col min="13838" max="13838" width="13.109375" style="1" customWidth="1"/>
    <col min="13839" max="13842" width="11.44140625" style="1"/>
    <col min="13843" max="13843" width="1.44140625" style="1" customWidth="1"/>
    <col min="13844" max="13844" width="12.109375" style="1" customWidth="1"/>
    <col min="13845" max="13845" width="11.44140625" style="1"/>
    <col min="13846" max="13846" width="0" style="1" hidden="1" customWidth="1"/>
    <col min="13847" max="14079" width="11.44140625" style="1"/>
    <col min="14080" max="14080" width="4.44140625" style="1" customWidth="1"/>
    <col min="14081" max="14081" width="27.44140625" style="1" customWidth="1"/>
    <col min="14082" max="14082" width="13.44140625" style="1" customWidth="1"/>
    <col min="14083" max="14083" width="2" style="1" customWidth="1"/>
    <col min="14084" max="14084" width="13.44140625" style="1" customWidth="1"/>
    <col min="14085" max="14085" width="13.77734375" style="1" customWidth="1"/>
    <col min="14086" max="14086" width="14.44140625" style="1" customWidth="1"/>
    <col min="14087" max="14087" width="1.44140625" style="1" customWidth="1"/>
    <col min="14088" max="14089" width="11" style="1" customWidth="1"/>
    <col min="14090" max="14090" width="10.109375" style="1" customWidth="1"/>
    <col min="14091" max="14091" width="1.44140625" style="1" customWidth="1"/>
    <col min="14092" max="14092" width="12.77734375" style="1" customWidth="1"/>
    <col min="14093" max="14093" width="1.44140625" style="1" customWidth="1"/>
    <col min="14094" max="14094" width="13.109375" style="1" customWidth="1"/>
    <col min="14095" max="14098" width="11.44140625" style="1"/>
    <col min="14099" max="14099" width="1.44140625" style="1" customWidth="1"/>
    <col min="14100" max="14100" width="12.109375" style="1" customWidth="1"/>
    <col min="14101" max="14101" width="11.44140625" style="1"/>
    <col min="14102" max="14102" width="0" style="1" hidden="1" customWidth="1"/>
    <col min="14103" max="14335" width="11.44140625" style="1"/>
    <col min="14336" max="14336" width="4.44140625" style="1" customWidth="1"/>
    <col min="14337" max="14337" width="27.44140625" style="1" customWidth="1"/>
    <col min="14338" max="14338" width="13.44140625" style="1" customWidth="1"/>
    <col min="14339" max="14339" width="2" style="1" customWidth="1"/>
    <col min="14340" max="14340" width="13.44140625" style="1" customWidth="1"/>
    <col min="14341" max="14341" width="13.77734375" style="1" customWidth="1"/>
    <col min="14342" max="14342" width="14.44140625" style="1" customWidth="1"/>
    <col min="14343" max="14343" width="1.44140625" style="1" customWidth="1"/>
    <col min="14344" max="14345" width="11" style="1" customWidth="1"/>
    <col min="14346" max="14346" width="10.109375" style="1" customWidth="1"/>
    <col min="14347" max="14347" width="1.44140625" style="1" customWidth="1"/>
    <col min="14348" max="14348" width="12.77734375" style="1" customWidth="1"/>
    <col min="14349" max="14349" width="1.44140625" style="1" customWidth="1"/>
    <col min="14350" max="14350" width="13.109375" style="1" customWidth="1"/>
    <col min="14351" max="14354" width="11.44140625" style="1"/>
    <col min="14355" max="14355" width="1.44140625" style="1" customWidth="1"/>
    <col min="14356" max="14356" width="12.109375" style="1" customWidth="1"/>
    <col min="14357" max="14357" width="11.44140625" style="1"/>
    <col min="14358" max="14358" width="0" style="1" hidden="1" customWidth="1"/>
    <col min="14359" max="14591" width="11.44140625" style="1"/>
    <col min="14592" max="14592" width="4.44140625" style="1" customWidth="1"/>
    <col min="14593" max="14593" width="27.44140625" style="1" customWidth="1"/>
    <col min="14594" max="14594" width="13.44140625" style="1" customWidth="1"/>
    <col min="14595" max="14595" width="2" style="1" customWidth="1"/>
    <col min="14596" max="14596" width="13.44140625" style="1" customWidth="1"/>
    <col min="14597" max="14597" width="13.77734375" style="1" customWidth="1"/>
    <col min="14598" max="14598" width="14.44140625" style="1" customWidth="1"/>
    <col min="14599" max="14599" width="1.44140625" style="1" customWidth="1"/>
    <col min="14600" max="14601" width="11" style="1" customWidth="1"/>
    <col min="14602" max="14602" width="10.109375" style="1" customWidth="1"/>
    <col min="14603" max="14603" width="1.44140625" style="1" customWidth="1"/>
    <col min="14604" max="14604" width="12.77734375" style="1" customWidth="1"/>
    <col min="14605" max="14605" width="1.44140625" style="1" customWidth="1"/>
    <col min="14606" max="14606" width="13.109375" style="1" customWidth="1"/>
    <col min="14607" max="14610" width="11.44140625" style="1"/>
    <col min="14611" max="14611" width="1.44140625" style="1" customWidth="1"/>
    <col min="14612" max="14612" width="12.109375" style="1" customWidth="1"/>
    <col min="14613" max="14613" width="11.44140625" style="1"/>
    <col min="14614" max="14614" width="0" style="1" hidden="1" customWidth="1"/>
    <col min="14615" max="14847" width="11.44140625" style="1"/>
    <col min="14848" max="14848" width="4.44140625" style="1" customWidth="1"/>
    <col min="14849" max="14849" width="27.44140625" style="1" customWidth="1"/>
    <col min="14850" max="14850" width="13.44140625" style="1" customWidth="1"/>
    <col min="14851" max="14851" width="2" style="1" customWidth="1"/>
    <col min="14852" max="14852" width="13.44140625" style="1" customWidth="1"/>
    <col min="14853" max="14853" width="13.77734375" style="1" customWidth="1"/>
    <col min="14854" max="14854" width="14.44140625" style="1" customWidth="1"/>
    <col min="14855" max="14855" width="1.44140625" style="1" customWidth="1"/>
    <col min="14856" max="14857" width="11" style="1" customWidth="1"/>
    <col min="14858" max="14858" width="10.109375" style="1" customWidth="1"/>
    <col min="14859" max="14859" width="1.44140625" style="1" customWidth="1"/>
    <col min="14860" max="14860" width="12.77734375" style="1" customWidth="1"/>
    <col min="14861" max="14861" width="1.44140625" style="1" customWidth="1"/>
    <col min="14862" max="14862" width="13.109375" style="1" customWidth="1"/>
    <col min="14863" max="14866" width="11.44140625" style="1"/>
    <col min="14867" max="14867" width="1.44140625" style="1" customWidth="1"/>
    <col min="14868" max="14868" width="12.109375" style="1" customWidth="1"/>
    <col min="14869" max="14869" width="11.44140625" style="1"/>
    <col min="14870" max="14870" width="0" style="1" hidden="1" customWidth="1"/>
    <col min="14871" max="15103" width="11.44140625" style="1"/>
    <col min="15104" max="15104" width="4.44140625" style="1" customWidth="1"/>
    <col min="15105" max="15105" width="27.44140625" style="1" customWidth="1"/>
    <col min="15106" max="15106" width="13.44140625" style="1" customWidth="1"/>
    <col min="15107" max="15107" width="2" style="1" customWidth="1"/>
    <col min="15108" max="15108" width="13.44140625" style="1" customWidth="1"/>
    <col min="15109" max="15109" width="13.77734375" style="1" customWidth="1"/>
    <col min="15110" max="15110" width="14.44140625" style="1" customWidth="1"/>
    <col min="15111" max="15111" width="1.44140625" style="1" customWidth="1"/>
    <col min="15112" max="15113" width="11" style="1" customWidth="1"/>
    <col min="15114" max="15114" width="10.109375" style="1" customWidth="1"/>
    <col min="15115" max="15115" width="1.44140625" style="1" customWidth="1"/>
    <col min="15116" max="15116" width="12.77734375" style="1" customWidth="1"/>
    <col min="15117" max="15117" width="1.44140625" style="1" customWidth="1"/>
    <col min="15118" max="15118" width="13.109375" style="1" customWidth="1"/>
    <col min="15119" max="15122" width="11.44140625" style="1"/>
    <col min="15123" max="15123" width="1.44140625" style="1" customWidth="1"/>
    <col min="15124" max="15124" width="12.109375" style="1" customWidth="1"/>
    <col min="15125" max="15125" width="11.44140625" style="1"/>
    <col min="15126" max="15126" width="0" style="1" hidden="1" customWidth="1"/>
    <col min="15127" max="15359" width="11.44140625" style="1"/>
    <col min="15360" max="15360" width="4.44140625" style="1" customWidth="1"/>
    <col min="15361" max="15361" width="27.44140625" style="1" customWidth="1"/>
    <col min="15362" max="15362" width="13.44140625" style="1" customWidth="1"/>
    <col min="15363" max="15363" width="2" style="1" customWidth="1"/>
    <col min="15364" max="15364" width="13.44140625" style="1" customWidth="1"/>
    <col min="15365" max="15365" width="13.77734375" style="1" customWidth="1"/>
    <col min="15366" max="15366" width="14.44140625" style="1" customWidth="1"/>
    <col min="15367" max="15367" width="1.44140625" style="1" customWidth="1"/>
    <col min="15368" max="15369" width="11" style="1" customWidth="1"/>
    <col min="15370" max="15370" width="10.109375" style="1" customWidth="1"/>
    <col min="15371" max="15371" width="1.44140625" style="1" customWidth="1"/>
    <col min="15372" max="15372" width="12.77734375" style="1" customWidth="1"/>
    <col min="15373" max="15373" width="1.44140625" style="1" customWidth="1"/>
    <col min="15374" max="15374" width="13.109375" style="1" customWidth="1"/>
    <col min="15375" max="15378" width="11.44140625" style="1"/>
    <col min="15379" max="15379" width="1.44140625" style="1" customWidth="1"/>
    <col min="15380" max="15380" width="12.109375" style="1" customWidth="1"/>
    <col min="15381" max="15381" width="11.44140625" style="1"/>
    <col min="15382" max="15382" width="0" style="1" hidden="1" customWidth="1"/>
    <col min="15383" max="15615" width="11.44140625" style="1"/>
    <col min="15616" max="15616" width="4.44140625" style="1" customWidth="1"/>
    <col min="15617" max="15617" width="27.44140625" style="1" customWidth="1"/>
    <col min="15618" max="15618" width="13.44140625" style="1" customWidth="1"/>
    <col min="15619" max="15619" width="2" style="1" customWidth="1"/>
    <col min="15620" max="15620" width="13.44140625" style="1" customWidth="1"/>
    <col min="15621" max="15621" width="13.77734375" style="1" customWidth="1"/>
    <col min="15622" max="15622" width="14.44140625" style="1" customWidth="1"/>
    <col min="15623" max="15623" width="1.44140625" style="1" customWidth="1"/>
    <col min="15624" max="15625" width="11" style="1" customWidth="1"/>
    <col min="15626" max="15626" width="10.109375" style="1" customWidth="1"/>
    <col min="15627" max="15627" width="1.44140625" style="1" customWidth="1"/>
    <col min="15628" max="15628" width="12.77734375" style="1" customWidth="1"/>
    <col min="15629" max="15629" width="1.44140625" style="1" customWidth="1"/>
    <col min="15630" max="15630" width="13.109375" style="1" customWidth="1"/>
    <col min="15631" max="15634" width="11.44140625" style="1"/>
    <col min="15635" max="15635" width="1.44140625" style="1" customWidth="1"/>
    <col min="15636" max="15636" width="12.109375" style="1" customWidth="1"/>
    <col min="15637" max="15637" width="11.44140625" style="1"/>
    <col min="15638" max="15638" width="0" style="1" hidden="1" customWidth="1"/>
    <col min="15639" max="15871" width="11.44140625" style="1"/>
    <col min="15872" max="15872" width="4.44140625" style="1" customWidth="1"/>
    <col min="15873" max="15873" width="27.44140625" style="1" customWidth="1"/>
    <col min="15874" max="15874" width="13.44140625" style="1" customWidth="1"/>
    <col min="15875" max="15875" width="2" style="1" customWidth="1"/>
    <col min="15876" max="15876" width="13.44140625" style="1" customWidth="1"/>
    <col min="15877" max="15877" width="13.77734375" style="1" customWidth="1"/>
    <col min="15878" max="15878" width="14.44140625" style="1" customWidth="1"/>
    <col min="15879" max="15879" width="1.44140625" style="1" customWidth="1"/>
    <col min="15880" max="15881" width="11" style="1" customWidth="1"/>
    <col min="15882" max="15882" width="10.109375" style="1" customWidth="1"/>
    <col min="15883" max="15883" width="1.44140625" style="1" customWidth="1"/>
    <col min="15884" max="15884" width="12.77734375" style="1" customWidth="1"/>
    <col min="15885" max="15885" width="1.44140625" style="1" customWidth="1"/>
    <col min="15886" max="15886" width="13.109375" style="1" customWidth="1"/>
    <col min="15887" max="15890" width="11.44140625" style="1"/>
    <col min="15891" max="15891" width="1.44140625" style="1" customWidth="1"/>
    <col min="15892" max="15892" width="12.109375" style="1" customWidth="1"/>
    <col min="15893" max="15893" width="11.44140625" style="1"/>
    <col min="15894" max="15894" width="0" style="1" hidden="1" customWidth="1"/>
    <col min="15895" max="16127" width="11.44140625" style="1"/>
    <col min="16128" max="16128" width="4.44140625" style="1" customWidth="1"/>
    <col min="16129" max="16129" width="27.44140625" style="1" customWidth="1"/>
    <col min="16130" max="16130" width="13.44140625" style="1" customWidth="1"/>
    <col min="16131" max="16131" width="2" style="1" customWidth="1"/>
    <col min="16132" max="16132" width="13.44140625" style="1" customWidth="1"/>
    <col min="16133" max="16133" width="13.77734375" style="1" customWidth="1"/>
    <col min="16134" max="16134" width="14.44140625" style="1" customWidth="1"/>
    <col min="16135" max="16135" width="1.44140625" style="1" customWidth="1"/>
    <col min="16136" max="16137" width="11" style="1" customWidth="1"/>
    <col min="16138" max="16138" width="10.109375" style="1" customWidth="1"/>
    <col min="16139" max="16139" width="1.44140625" style="1" customWidth="1"/>
    <col min="16140" max="16140" width="12.77734375" style="1" customWidth="1"/>
    <col min="16141" max="16141" width="1.44140625" style="1" customWidth="1"/>
    <col min="16142" max="16142" width="13.109375" style="1" customWidth="1"/>
    <col min="16143" max="16146" width="11.44140625" style="1"/>
    <col min="16147" max="16147" width="1.44140625" style="1" customWidth="1"/>
    <col min="16148" max="16148" width="12.109375" style="1" customWidth="1"/>
    <col min="16149" max="16149" width="11.44140625" style="1"/>
    <col min="16150" max="16150" width="0" style="1" hidden="1" customWidth="1"/>
    <col min="16151" max="16384" width="11.44140625" style="1"/>
  </cols>
  <sheetData>
    <row r="2" spans="2:22" ht="18">
      <c r="E2" s="300" t="s">
        <v>131</v>
      </c>
      <c r="F2" s="300"/>
      <c r="G2" s="300"/>
      <c r="H2" s="300"/>
      <c r="I2" s="300"/>
    </row>
    <row r="7" spans="2:22" ht="15.6">
      <c r="B7" s="14"/>
      <c r="C7" s="14" t="s">
        <v>20</v>
      </c>
    </row>
    <row r="8" spans="2:22" ht="15.6">
      <c r="B8" s="14" t="s">
        <v>131</v>
      </c>
      <c r="C8" s="14" t="s">
        <v>19</v>
      </c>
    </row>
    <row r="9" spans="2:22" hidden="1">
      <c r="B9" s="17" t="s">
        <v>124</v>
      </c>
      <c r="C9" s="65">
        <v>0</v>
      </c>
      <c r="I9" s="36"/>
      <c r="J9" s="48"/>
      <c r="K9" s="48"/>
    </row>
    <row r="10" spans="2:22">
      <c r="B10" s="17" t="s">
        <v>123</v>
      </c>
      <c r="C10" s="65">
        <v>2000000</v>
      </c>
      <c r="D10" s="199">
        <f t="shared" ref="D10:D17" si="0">C10/$C$19</f>
        <v>0.352112676056338</v>
      </c>
      <c r="V10" s="1" t="s">
        <v>21</v>
      </c>
    </row>
    <row r="11" spans="2:22" ht="15.6">
      <c r="B11" s="17" t="s">
        <v>93</v>
      </c>
      <c r="C11" s="65">
        <v>250000</v>
      </c>
      <c r="D11" s="199">
        <f t="shared" si="0"/>
        <v>4.401408450704225E-2</v>
      </c>
      <c r="I11" s="314"/>
      <c r="J11" s="314"/>
      <c r="K11" s="314"/>
      <c r="V11" s="1" t="s">
        <v>22</v>
      </c>
    </row>
    <row r="12" spans="2:22">
      <c r="B12" s="17" t="s">
        <v>94</v>
      </c>
      <c r="C12" s="65">
        <v>300000</v>
      </c>
      <c r="D12" s="199">
        <f t="shared" si="0"/>
        <v>5.2816901408450703E-2</v>
      </c>
      <c r="I12" s="36"/>
      <c r="J12" s="48"/>
      <c r="K12" s="49"/>
    </row>
    <row r="13" spans="2:22">
      <c r="B13" s="17" t="s">
        <v>95</v>
      </c>
      <c r="C13" s="65">
        <v>2000000</v>
      </c>
      <c r="D13" s="199">
        <f t="shared" si="0"/>
        <v>0.352112676056338</v>
      </c>
    </row>
    <row r="14" spans="2:22" hidden="1">
      <c r="B14" s="17" t="s">
        <v>96</v>
      </c>
      <c r="C14" s="65"/>
      <c r="D14" s="199">
        <f t="shared" si="0"/>
        <v>0</v>
      </c>
    </row>
    <row r="15" spans="2:22">
      <c r="B15" s="17" t="s">
        <v>97</v>
      </c>
      <c r="C15" s="65">
        <v>80000</v>
      </c>
      <c r="D15" s="199">
        <f t="shared" si="0"/>
        <v>1.4084507042253521E-2</v>
      </c>
    </row>
    <row r="16" spans="2:22" ht="16.5" hidden="1" customHeight="1">
      <c r="B16" s="17" t="s">
        <v>125</v>
      </c>
      <c r="C16" s="65"/>
      <c r="D16" s="199">
        <f t="shared" si="0"/>
        <v>0</v>
      </c>
    </row>
    <row r="17" spans="1:20">
      <c r="B17" s="17" t="s">
        <v>98</v>
      </c>
      <c r="C17" s="65">
        <v>50000</v>
      </c>
      <c r="D17" s="199">
        <f t="shared" si="0"/>
        <v>8.8028169014084511E-3</v>
      </c>
      <c r="F17" s="27"/>
    </row>
    <row r="18" spans="1:20">
      <c r="B18" s="17" t="s">
        <v>117</v>
      </c>
      <c r="C18" s="65">
        <v>1000000</v>
      </c>
      <c r="D18" s="199">
        <f>C18/$C$19</f>
        <v>0.176056338028169</v>
      </c>
      <c r="F18" s="27"/>
    </row>
    <row r="19" spans="1:20">
      <c r="B19" s="17" t="s">
        <v>188</v>
      </c>
      <c r="C19" s="227">
        <f>SUM(C9:C18)</f>
        <v>5680000</v>
      </c>
      <c r="D19" s="200">
        <v>1</v>
      </c>
      <c r="F19" s="27"/>
    </row>
    <row r="20" spans="1:20" ht="15.6">
      <c r="B20" s="50"/>
      <c r="F20" s="27"/>
    </row>
    <row r="21" spans="1:20" ht="15.6">
      <c r="B21" s="66" t="s">
        <v>132</v>
      </c>
      <c r="P21" s="51"/>
      <c r="Q21" s="51"/>
      <c r="R21" s="51"/>
      <c r="S21" s="51"/>
      <c r="T21" s="51"/>
    </row>
    <row r="22" spans="1:20">
      <c r="B22" s="315" t="s">
        <v>23</v>
      </c>
      <c r="C22" s="315"/>
      <c r="E22" s="315" t="s">
        <v>24</v>
      </c>
      <c r="F22" s="315"/>
      <c r="G22" s="315"/>
      <c r="I22" s="315" t="s">
        <v>25</v>
      </c>
      <c r="J22" s="315"/>
      <c r="K22" s="315"/>
      <c r="M22" s="46" t="s">
        <v>26</v>
      </c>
      <c r="P22" s="51"/>
      <c r="Q22" s="51"/>
    </row>
    <row r="23" spans="1:20">
      <c r="B23" s="46"/>
      <c r="C23" s="46" t="s">
        <v>27</v>
      </c>
      <c r="E23" s="46" t="s">
        <v>28</v>
      </c>
      <c r="F23" s="46" t="s">
        <v>138</v>
      </c>
      <c r="G23" s="70" t="s">
        <v>29</v>
      </c>
      <c r="I23" s="46"/>
      <c r="J23" s="46"/>
      <c r="K23" s="46"/>
      <c r="M23" s="70" t="s">
        <v>30</v>
      </c>
      <c r="O23" s="46" t="s">
        <v>31</v>
      </c>
      <c r="P23" s="46" t="s">
        <v>32</v>
      </c>
      <c r="Q23" s="46" t="s">
        <v>33</v>
      </c>
      <c r="R23" s="46" t="s">
        <v>6</v>
      </c>
      <c r="S23" s="70" t="s">
        <v>34</v>
      </c>
      <c r="T23" s="46" t="s">
        <v>136</v>
      </c>
    </row>
    <row r="24" spans="1:20">
      <c r="B24" s="46" t="s">
        <v>35</v>
      </c>
      <c r="C24" s="46" t="s">
        <v>36</v>
      </c>
      <c r="E24" s="46" t="s">
        <v>37</v>
      </c>
      <c r="F24" s="46" t="s">
        <v>38</v>
      </c>
      <c r="G24" s="46" t="s">
        <v>39</v>
      </c>
      <c r="I24" s="46" t="s">
        <v>40</v>
      </c>
      <c r="J24" s="46" t="s">
        <v>41</v>
      </c>
      <c r="K24" s="46"/>
      <c r="M24" s="70" t="s">
        <v>42</v>
      </c>
      <c r="O24" s="46" t="s">
        <v>43</v>
      </c>
      <c r="P24" s="46" t="s">
        <v>44</v>
      </c>
      <c r="Q24" s="46" t="s">
        <v>45</v>
      </c>
      <c r="R24" s="46" t="s">
        <v>32</v>
      </c>
      <c r="S24" s="46" t="s">
        <v>46</v>
      </c>
      <c r="T24" s="46" t="s">
        <v>137</v>
      </c>
    </row>
    <row r="25" spans="1:20">
      <c r="A25" s="42"/>
      <c r="B25" s="67" t="s">
        <v>126</v>
      </c>
      <c r="C25" s="68">
        <v>1</v>
      </c>
      <c r="D25" s="40"/>
      <c r="E25" s="71">
        <v>0</v>
      </c>
      <c r="F25" s="71">
        <v>0</v>
      </c>
      <c r="G25" s="71">
        <v>0</v>
      </c>
      <c r="H25" s="40"/>
      <c r="I25" s="72" t="s">
        <v>51</v>
      </c>
      <c r="J25" s="72" t="s">
        <v>48</v>
      </c>
      <c r="K25" s="73"/>
      <c r="L25" s="52"/>
      <c r="M25" s="73">
        <v>5.1999999999999998E-3</v>
      </c>
      <c r="N25" s="40"/>
      <c r="O25" s="75">
        <f>+(E25+F25+G25)*C25</f>
        <v>0</v>
      </c>
      <c r="P25" s="75">
        <f>+IF(I25="Indefinido",O25*$G$47,O25*$G$50)</f>
        <v>0</v>
      </c>
      <c r="Q25" s="75">
        <f>+IF(I25="Indefinido",O25*($G$48+M25),+IF(J25="Completa",O25*($G$51+M25),O25*($G$54+M25)))</f>
        <v>0</v>
      </c>
      <c r="R25" s="75">
        <f>+P25+Q25</f>
        <v>0</v>
      </c>
      <c r="S25" s="75">
        <f>+O25*(1-K25)-P25</f>
        <v>0</v>
      </c>
      <c r="T25" s="75">
        <f>+O25+Q25</f>
        <v>0</v>
      </c>
    </row>
    <row r="26" spans="1:20">
      <c r="A26" s="42"/>
      <c r="B26" s="67" t="s">
        <v>250</v>
      </c>
      <c r="C26" s="68">
        <v>1</v>
      </c>
      <c r="D26" s="40"/>
      <c r="E26" s="71">
        <v>2500000</v>
      </c>
      <c r="F26" s="71">
        <v>0</v>
      </c>
      <c r="G26" s="71">
        <v>0</v>
      </c>
      <c r="H26" s="40"/>
      <c r="I26" s="72" t="s">
        <v>51</v>
      </c>
      <c r="J26" s="72" t="s">
        <v>48</v>
      </c>
      <c r="K26" s="73"/>
      <c r="L26" s="52"/>
      <c r="M26" s="73">
        <v>5.1999999999999998E-3</v>
      </c>
      <c r="N26" s="40"/>
      <c r="O26" s="75">
        <f t="shared" ref="O26:O32" si="1">+(E26+F26+G26)*C26</f>
        <v>2500000</v>
      </c>
      <c r="P26" s="75">
        <f>+IF(I26="Indefinido",O26*$G$47,O26*$G$50)</f>
        <v>158750</v>
      </c>
      <c r="Q26" s="75">
        <f>+IF(I26="Indefinido",O26*($G$48+M26),+IF(J26="Completa",O26*($G$51+M26),O26*($G$54+M26)))</f>
        <v>760499.99999999988</v>
      </c>
      <c r="R26" s="75">
        <f t="shared" ref="R26:R32" si="2">+P26+Q26</f>
        <v>919249.99999999988</v>
      </c>
      <c r="S26" s="75">
        <f t="shared" ref="S26:S32" si="3">+O26*(1-K26)-P26</f>
        <v>2341250</v>
      </c>
      <c r="T26" s="75">
        <f t="shared" ref="T26:T32" si="4">+O26+Q26</f>
        <v>3260500</v>
      </c>
    </row>
    <row r="27" spans="1:20">
      <c r="A27" s="42"/>
      <c r="B27" s="67" t="s">
        <v>251</v>
      </c>
      <c r="C27" s="68">
        <v>1</v>
      </c>
      <c r="D27" s="40"/>
      <c r="E27" s="71">
        <v>1500000</v>
      </c>
      <c r="F27" s="71">
        <v>0</v>
      </c>
      <c r="G27" s="71">
        <v>0</v>
      </c>
      <c r="H27" s="40"/>
      <c r="I27" s="72" t="s">
        <v>51</v>
      </c>
      <c r="J27" s="72" t="s">
        <v>48</v>
      </c>
      <c r="K27" s="73"/>
      <c r="L27" s="52"/>
      <c r="M27" s="73">
        <f>M26</f>
        <v>5.1999999999999998E-3</v>
      </c>
      <c r="N27" s="40"/>
      <c r="O27" s="75">
        <f t="shared" ref="O27:O31" si="5">+(E27+F27+G27)*C27</f>
        <v>1500000</v>
      </c>
      <c r="P27" s="75">
        <f t="shared" ref="P27:P31" si="6">+IF(I27="Indefinido",O27*$G$47,O27*$G$50)</f>
        <v>95250</v>
      </c>
      <c r="Q27" s="75">
        <f t="shared" ref="Q27:Q31" si="7">+IF(I27="Indefinido",O27*($G$48+M27),+IF(J27="Completa",O27*($G$51+M27),O27*($G$54+M27)))</f>
        <v>456299.99999999994</v>
      </c>
      <c r="R27" s="75">
        <f t="shared" ref="R27:R31" si="8">+P27+Q27</f>
        <v>551550</v>
      </c>
      <c r="S27" s="75">
        <f t="shared" ref="S27:S31" si="9">+O27*(1-K27)-P27</f>
        <v>1404750</v>
      </c>
      <c r="T27" s="75">
        <f t="shared" ref="T27:T31" si="10">+O27+Q27</f>
        <v>1956300</v>
      </c>
    </row>
    <row r="28" spans="1:20">
      <c r="A28" s="42"/>
      <c r="B28" s="67" t="s">
        <v>252</v>
      </c>
      <c r="C28" s="68">
        <v>1</v>
      </c>
      <c r="D28" s="40"/>
      <c r="E28" s="71">
        <v>1040000</v>
      </c>
      <c r="F28" s="71">
        <v>0</v>
      </c>
      <c r="G28" s="71">
        <v>0</v>
      </c>
      <c r="H28" s="40"/>
      <c r="I28" s="72" t="s">
        <v>51</v>
      </c>
      <c r="J28" s="72" t="s">
        <v>48</v>
      </c>
      <c r="K28" s="73"/>
      <c r="L28" s="52"/>
      <c r="M28" s="73">
        <f t="shared" ref="M28:M32" si="11">M27</f>
        <v>5.1999999999999998E-3</v>
      </c>
      <c r="N28" s="40"/>
      <c r="O28" s="75">
        <f t="shared" si="5"/>
        <v>1040000</v>
      </c>
      <c r="P28" s="75">
        <f t="shared" si="6"/>
        <v>66040</v>
      </c>
      <c r="Q28" s="75">
        <f t="shared" si="7"/>
        <v>316367.99999999994</v>
      </c>
      <c r="R28" s="75">
        <f t="shared" si="8"/>
        <v>382407.99999999994</v>
      </c>
      <c r="S28" s="75">
        <f t="shared" si="9"/>
        <v>973960</v>
      </c>
      <c r="T28" s="75">
        <f t="shared" si="10"/>
        <v>1356368</v>
      </c>
    </row>
    <row r="29" spans="1:20">
      <c r="A29" s="42"/>
      <c r="B29" s="67" t="s">
        <v>253</v>
      </c>
      <c r="C29" s="68">
        <v>1</v>
      </c>
      <c r="D29" s="40"/>
      <c r="E29" s="71">
        <v>1080000</v>
      </c>
      <c r="F29" s="71">
        <v>0</v>
      </c>
      <c r="G29" s="71">
        <v>0</v>
      </c>
      <c r="H29" s="40"/>
      <c r="I29" s="72" t="s">
        <v>51</v>
      </c>
      <c r="J29" s="72" t="s">
        <v>48</v>
      </c>
      <c r="K29" s="73"/>
      <c r="L29" s="52"/>
      <c r="M29" s="73">
        <f t="shared" si="11"/>
        <v>5.1999999999999998E-3</v>
      </c>
      <c r="N29" s="40"/>
      <c r="O29" s="75">
        <f t="shared" si="5"/>
        <v>1080000</v>
      </c>
      <c r="P29" s="75">
        <f t="shared" si="6"/>
        <v>68580</v>
      </c>
      <c r="Q29" s="75">
        <f t="shared" si="7"/>
        <v>328535.99999999994</v>
      </c>
      <c r="R29" s="75">
        <f t="shared" si="8"/>
        <v>397115.99999999994</v>
      </c>
      <c r="S29" s="75">
        <f t="shared" si="9"/>
        <v>1011420</v>
      </c>
      <c r="T29" s="75">
        <f t="shared" si="10"/>
        <v>1408536</v>
      </c>
    </row>
    <row r="30" spans="1:20">
      <c r="A30" s="42"/>
      <c r="B30" s="67" t="s">
        <v>254</v>
      </c>
      <c r="C30" s="68">
        <v>1</v>
      </c>
      <c r="D30" s="40"/>
      <c r="E30" s="71">
        <v>1100000</v>
      </c>
      <c r="F30" s="71">
        <v>0</v>
      </c>
      <c r="G30" s="71">
        <v>0</v>
      </c>
      <c r="H30" s="40"/>
      <c r="I30" s="72" t="s">
        <v>51</v>
      </c>
      <c r="J30" s="72" t="s">
        <v>48</v>
      </c>
      <c r="K30" s="73"/>
      <c r="L30" s="52"/>
      <c r="M30" s="73">
        <f t="shared" si="11"/>
        <v>5.1999999999999998E-3</v>
      </c>
      <c r="N30" s="40"/>
      <c r="O30" s="75">
        <f t="shared" si="5"/>
        <v>1100000</v>
      </c>
      <c r="P30" s="75">
        <f t="shared" si="6"/>
        <v>69850</v>
      </c>
      <c r="Q30" s="75">
        <f t="shared" si="7"/>
        <v>334619.99999999994</v>
      </c>
      <c r="R30" s="75">
        <f t="shared" si="8"/>
        <v>404469.99999999994</v>
      </c>
      <c r="S30" s="75">
        <f t="shared" si="9"/>
        <v>1030150</v>
      </c>
      <c r="T30" s="75">
        <f t="shared" si="10"/>
        <v>1434620</v>
      </c>
    </row>
    <row r="31" spans="1:20">
      <c r="A31" s="42"/>
      <c r="B31" s="67" t="s">
        <v>255</v>
      </c>
      <c r="C31" s="68">
        <v>1</v>
      </c>
      <c r="D31" s="40"/>
      <c r="E31" s="71">
        <v>0</v>
      </c>
      <c r="F31" s="71">
        <v>0</v>
      </c>
      <c r="G31" s="71">
        <v>0</v>
      </c>
      <c r="H31" s="40"/>
      <c r="I31" s="72" t="s">
        <v>51</v>
      </c>
      <c r="J31" s="72" t="s">
        <v>48</v>
      </c>
      <c r="K31" s="73"/>
      <c r="L31" s="52"/>
      <c r="M31" s="73">
        <f t="shared" si="11"/>
        <v>5.1999999999999998E-3</v>
      </c>
      <c r="N31" s="40"/>
      <c r="O31" s="75">
        <f t="shared" si="5"/>
        <v>0</v>
      </c>
      <c r="P31" s="75">
        <f t="shared" si="6"/>
        <v>0</v>
      </c>
      <c r="Q31" s="75">
        <f t="shared" si="7"/>
        <v>0</v>
      </c>
      <c r="R31" s="75">
        <f t="shared" si="8"/>
        <v>0</v>
      </c>
      <c r="S31" s="75">
        <f t="shared" si="9"/>
        <v>0</v>
      </c>
      <c r="T31" s="75">
        <f t="shared" si="10"/>
        <v>0</v>
      </c>
    </row>
    <row r="32" spans="1:20">
      <c r="A32" s="42"/>
      <c r="B32" s="69" t="s">
        <v>256</v>
      </c>
      <c r="C32" s="68">
        <v>1</v>
      </c>
      <c r="E32" s="71">
        <v>0</v>
      </c>
      <c r="F32" s="71">
        <v>0</v>
      </c>
      <c r="G32" s="71">
        <v>0</v>
      </c>
      <c r="I32" s="72" t="s">
        <v>47</v>
      </c>
      <c r="J32" s="72" t="s">
        <v>48</v>
      </c>
      <c r="K32" s="74"/>
      <c r="M32" s="73">
        <f t="shared" si="11"/>
        <v>5.1999999999999998E-3</v>
      </c>
      <c r="O32" s="75">
        <f t="shared" si="1"/>
        <v>0</v>
      </c>
      <c r="P32" s="75">
        <f>+IF(I32="Indefinido",O32*$G$47,O32*$G$50)</f>
        <v>0</v>
      </c>
      <c r="Q32" s="75">
        <f>+IF(I32="Indefinido",O32*($G$48+M32),+IF(J32="Completa",O32*($G$51+M32),O32*($G$54+M32)))</f>
        <v>0</v>
      </c>
      <c r="R32" s="75">
        <f t="shared" si="2"/>
        <v>0</v>
      </c>
      <c r="S32" s="75">
        <f t="shared" si="3"/>
        <v>0</v>
      </c>
      <c r="T32" s="75">
        <f t="shared" si="4"/>
        <v>0</v>
      </c>
    </row>
    <row r="33" spans="1:20">
      <c r="A33" s="42"/>
      <c r="L33" s="53" t="s">
        <v>49</v>
      </c>
      <c r="N33" s="53" t="s">
        <v>49</v>
      </c>
      <c r="O33" s="232">
        <f t="shared" ref="O33:S33" si="12">SUM(O25:O32)</f>
        <v>7220000</v>
      </c>
      <c r="P33" s="232">
        <f t="shared" si="12"/>
        <v>458470</v>
      </c>
      <c r="Q33" s="232">
        <f t="shared" si="12"/>
        <v>2196323.9999999995</v>
      </c>
      <c r="R33" s="232">
        <f t="shared" si="12"/>
        <v>2654794</v>
      </c>
      <c r="S33" s="232">
        <f t="shared" si="12"/>
        <v>6761530</v>
      </c>
      <c r="T33" s="233">
        <f>SUM(T25:T32)</f>
        <v>9416324</v>
      </c>
    </row>
    <row r="34" spans="1:20">
      <c r="A34" s="42"/>
    </row>
    <row r="35" spans="1:20">
      <c r="A35" s="42"/>
    </row>
    <row r="36" spans="1:20">
      <c r="A36" s="42"/>
    </row>
    <row r="37" spans="1:20" ht="14.4" hidden="1" thickBot="1">
      <c r="A37" s="42"/>
      <c r="B37" s="54" t="s">
        <v>50</v>
      </c>
      <c r="C37" s="55"/>
    </row>
    <row r="38" spans="1:20" hidden="1">
      <c r="A38" s="42"/>
      <c r="B38" s="56" t="s">
        <v>51</v>
      </c>
    </row>
    <row r="39" spans="1:20" hidden="1">
      <c r="A39" s="42"/>
      <c r="B39" s="56" t="s">
        <v>47</v>
      </c>
    </row>
    <row r="40" spans="1:20" hidden="1">
      <c r="A40" s="42"/>
      <c r="B40" s="56"/>
    </row>
    <row r="41" spans="1:20" hidden="1">
      <c r="A41" s="42"/>
      <c r="B41" s="56" t="s">
        <v>48</v>
      </c>
    </row>
    <row r="42" spans="1:20" ht="14.4" hidden="1" thickBot="1">
      <c r="A42" s="42"/>
      <c r="B42" s="57" t="s">
        <v>52</v>
      </c>
    </row>
    <row r="43" spans="1:20" hidden="1">
      <c r="A43" s="42"/>
    </row>
    <row r="44" spans="1:20" ht="14.4" hidden="1" thickBot="1">
      <c r="A44" s="42"/>
      <c r="B44" s="58" t="s">
        <v>53</v>
      </c>
      <c r="C44" s="59"/>
      <c r="D44" s="59"/>
      <c r="E44" s="59"/>
      <c r="F44" s="59"/>
      <c r="G44" s="55"/>
    </row>
    <row r="45" spans="1:20" hidden="1">
      <c r="A45" s="42"/>
      <c r="C45" s="60" t="s">
        <v>54</v>
      </c>
      <c r="D45" s="61" t="s">
        <v>55</v>
      </c>
      <c r="E45" s="61" t="s">
        <v>56</v>
      </c>
      <c r="F45" s="61" t="s">
        <v>57</v>
      </c>
      <c r="G45" s="61" t="s">
        <v>12</v>
      </c>
    </row>
    <row r="46" spans="1:20" hidden="1">
      <c r="A46" s="42"/>
      <c r="B46" s="62" t="s">
        <v>58</v>
      </c>
      <c r="C46" s="62"/>
    </row>
    <row r="47" spans="1:20" hidden="1">
      <c r="A47" s="42"/>
      <c r="B47" s="62" t="s">
        <v>59</v>
      </c>
      <c r="C47" s="63">
        <v>4.7E-2</v>
      </c>
      <c r="D47" s="63">
        <v>1.55E-2</v>
      </c>
      <c r="E47" s="63">
        <v>0</v>
      </c>
      <c r="F47" s="63">
        <v>1E-3</v>
      </c>
      <c r="G47" s="64">
        <f>SUM(C47:F47)</f>
        <v>6.3500000000000001E-2</v>
      </c>
    </row>
    <row r="48" spans="1:20" hidden="1">
      <c r="A48" s="42"/>
      <c r="B48" s="62" t="s">
        <v>60</v>
      </c>
      <c r="C48" s="63">
        <v>0.23599999999999999</v>
      </c>
      <c r="D48" s="63">
        <v>5.5E-2</v>
      </c>
      <c r="E48" s="63">
        <v>2E-3</v>
      </c>
      <c r="F48" s="63">
        <v>6.0000000000000001E-3</v>
      </c>
      <c r="G48" s="64">
        <f>SUM(C48:F48)</f>
        <v>0.29899999999999999</v>
      </c>
    </row>
    <row r="49" spans="1:9" hidden="1">
      <c r="A49" s="42"/>
      <c r="B49" s="62" t="s">
        <v>61</v>
      </c>
      <c r="C49" s="62"/>
    </row>
    <row r="50" spans="1:9" hidden="1">
      <c r="A50" s="42"/>
      <c r="B50" s="62" t="s">
        <v>59</v>
      </c>
      <c r="C50" s="63">
        <v>4.7E-2</v>
      </c>
      <c r="D50" s="63">
        <v>1.6E-2</v>
      </c>
      <c r="E50" s="63">
        <v>0</v>
      </c>
      <c r="F50" s="63">
        <v>1E-3</v>
      </c>
      <c r="G50" s="64">
        <f>SUM(C50:F50)</f>
        <v>6.4000000000000001E-2</v>
      </c>
    </row>
    <row r="51" spans="1:9" hidden="1">
      <c r="A51" s="42"/>
      <c r="B51" s="62" t="s">
        <v>60</v>
      </c>
      <c r="C51" s="63">
        <v>0.23599999999999999</v>
      </c>
      <c r="D51" s="63">
        <v>6.7000000000000004E-2</v>
      </c>
      <c r="E51" s="63">
        <v>2E-3</v>
      </c>
      <c r="F51" s="63">
        <v>6.0000000000000001E-3</v>
      </c>
      <c r="G51" s="64">
        <f>SUM(C51:F51)</f>
        <v>0.311</v>
      </c>
    </row>
    <row r="52" spans="1:9" hidden="1">
      <c r="A52" s="42"/>
      <c r="B52" s="62" t="s">
        <v>62</v>
      </c>
      <c r="C52" s="62"/>
    </row>
    <row r="53" spans="1:9" hidden="1">
      <c r="A53" s="42"/>
      <c r="B53" s="62" t="s">
        <v>59</v>
      </c>
      <c r="C53" s="63">
        <v>4.7E-2</v>
      </c>
      <c r="D53" s="63">
        <v>1.6E-2</v>
      </c>
      <c r="E53" s="63">
        <v>0</v>
      </c>
      <c r="F53" s="63">
        <v>1E-3</v>
      </c>
      <c r="G53" s="64">
        <f>SUM(C53:F53)</f>
        <v>6.4000000000000001E-2</v>
      </c>
    </row>
    <row r="54" spans="1:9" hidden="1">
      <c r="A54" s="42"/>
      <c r="B54" s="62" t="s">
        <v>60</v>
      </c>
      <c r="C54" s="63">
        <v>0.23599999999999999</v>
      </c>
      <c r="D54" s="63">
        <v>7.6999999999999999E-2</v>
      </c>
      <c r="E54" s="63">
        <v>2E-3</v>
      </c>
      <c r="F54" s="63">
        <v>6.0000000000000001E-3</v>
      </c>
      <c r="G54" s="64">
        <f>SUM(C54:F54)</f>
        <v>0.32100000000000001</v>
      </c>
    </row>
    <row r="55" spans="1:9" hidden="1"/>
    <row r="57" spans="1:9" ht="24" thickBot="1">
      <c r="B57" s="279" t="s">
        <v>307</v>
      </c>
      <c r="C57" s="279"/>
      <c r="D57" s="279"/>
      <c r="E57" s="279"/>
      <c r="F57" s="279"/>
      <c r="G57" s="279"/>
      <c r="H57" s="279"/>
      <c r="I57" s="279"/>
    </row>
    <row r="58" spans="1:9" ht="58.05" customHeight="1" thickBot="1">
      <c r="B58" s="291" t="s">
        <v>318</v>
      </c>
      <c r="C58" s="292"/>
      <c r="D58" s="292"/>
      <c r="E58" s="292"/>
      <c r="F58" s="292"/>
      <c r="G58" s="292"/>
      <c r="H58" s="292"/>
      <c r="I58" s="293"/>
    </row>
    <row r="59" spans="1:9" ht="123" customHeight="1" thickBot="1">
      <c r="B59" s="283"/>
      <c r="C59" s="284"/>
      <c r="D59" s="284"/>
      <c r="E59" s="284"/>
      <c r="F59" s="284"/>
      <c r="G59" s="284"/>
      <c r="H59" s="284"/>
      <c r="I59" s="285"/>
    </row>
  </sheetData>
  <protectedRanges>
    <protectedRange sqref="K12" name="pagos fracc"/>
    <protectedRange sqref="K9" name="modulos"/>
    <protectedRange sqref="C9:C18" name="costes fijos"/>
    <protectedRange sqref="C9:C16 J9:K9 J12:K12" name="Meses"/>
    <protectedRange sqref="B25:C31" name="puesto trabajo"/>
    <protectedRange sqref="E32:F32 E25:G31" name="salario"/>
    <protectedRange sqref="I32:J32 I25:K31" name="Tipo contrato"/>
    <protectedRange sqref="M25:M32" name="Accidentes trabajo"/>
  </protectedRanges>
  <mergeCells count="8">
    <mergeCell ref="B57:I57"/>
    <mergeCell ref="B58:I58"/>
    <mergeCell ref="B59:I59"/>
    <mergeCell ref="E2:I2"/>
    <mergeCell ref="I11:K11"/>
    <mergeCell ref="B22:C22"/>
    <mergeCell ref="E22:G22"/>
    <mergeCell ref="I22:K22"/>
  </mergeCells>
  <phoneticPr fontId="19" type="noConversion"/>
  <conditionalFormatting sqref="I25:K31 C25:C36 O25:T36 I32:J32 E33:G36 I33:K36">
    <cfRule type="expression" priority="3">
      <formula>"d20="""""</formula>
    </cfRule>
  </conditionalFormatting>
  <conditionalFormatting sqref="M25:M36">
    <cfRule type="expression" priority="2">
      <formula>"d20="""""</formula>
    </cfRule>
  </conditionalFormatting>
  <dataValidations count="5">
    <dataValidation type="list" allowBlank="1" showInputMessage="1" showErrorMessage="1" sqref="K12 JF12 TB12 ACX12 AMT12 AWP12 BGL12 BQH12 CAD12 CJZ12 CTV12 DDR12 DNN12 DXJ12 EHF12 ERB12 FAX12 FKT12 FUP12 GEL12 GOH12 GYD12 HHZ12 HRV12 IBR12 ILN12 IVJ12 JFF12 JPB12 JYX12 KIT12 KSP12 LCL12 LMH12 LWD12 MFZ12 MPV12 MZR12 NJN12 NTJ12 ODF12 ONB12 OWX12 PGT12 PQP12 QAL12 QKH12 QUD12 RDZ12 RNV12 RXR12 SHN12 SRJ12 TBF12 TLB12 TUX12 UET12 UOP12 UYL12 VIH12 VSD12 WBZ12 WLV12 WVR12 K65543 JF65543 TB65543 ACX65543 AMT65543 AWP65543 BGL65543 BQH65543 CAD65543 CJZ65543 CTV65543 DDR65543 DNN65543 DXJ65543 EHF65543 ERB65543 FAX65543 FKT65543 FUP65543 GEL65543 GOH65543 GYD65543 HHZ65543 HRV65543 IBR65543 ILN65543 IVJ65543 JFF65543 JPB65543 JYX65543 KIT65543 KSP65543 LCL65543 LMH65543 LWD65543 MFZ65543 MPV65543 MZR65543 NJN65543 NTJ65543 ODF65543 ONB65543 OWX65543 PGT65543 PQP65543 QAL65543 QKH65543 QUD65543 RDZ65543 RNV65543 RXR65543 SHN65543 SRJ65543 TBF65543 TLB65543 TUX65543 UET65543 UOP65543 UYL65543 VIH65543 VSD65543 WBZ65543 WLV65543 WVR65543 K131079 JF131079 TB131079 ACX131079 AMT131079 AWP131079 BGL131079 BQH131079 CAD131079 CJZ131079 CTV131079 DDR131079 DNN131079 DXJ131079 EHF131079 ERB131079 FAX131079 FKT131079 FUP131079 GEL131079 GOH131079 GYD131079 HHZ131079 HRV131079 IBR131079 ILN131079 IVJ131079 JFF131079 JPB131079 JYX131079 KIT131079 KSP131079 LCL131079 LMH131079 LWD131079 MFZ131079 MPV131079 MZR131079 NJN131079 NTJ131079 ODF131079 ONB131079 OWX131079 PGT131079 PQP131079 QAL131079 QKH131079 QUD131079 RDZ131079 RNV131079 RXR131079 SHN131079 SRJ131079 TBF131079 TLB131079 TUX131079 UET131079 UOP131079 UYL131079 VIH131079 VSD131079 WBZ131079 WLV131079 WVR131079 K196615 JF196615 TB196615 ACX196615 AMT196615 AWP196615 BGL196615 BQH196615 CAD196615 CJZ196615 CTV196615 DDR196615 DNN196615 DXJ196615 EHF196615 ERB196615 FAX196615 FKT196615 FUP196615 GEL196615 GOH196615 GYD196615 HHZ196615 HRV196615 IBR196615 ILN196615 IVJ196615 JFF196615 JPB196615 JYX196615 KIT196615 KSP196615 LCL196615 LMH196615 LWD196615 MFZ196615 MPV196615 MZR196615 NJN196615 NTJ196615 ODF196615 ONB196615 OWX196615 PGT196615 PQP196615 QAL196615 QKH196615 QUD196615 RDZ196615 RNV196615 RXR196615 SHN196615 SRJ196615 TBF196615 TLB196615 TUX196615 UET196615 UOP196615 UYL196615 VIH196615 VSD196615 WBZ196615 WLV196615 WVR196615 K262151 JF262151 TB262151 ACX262151 AMT262151 AWP262151 BGL262151 BQH262151 CAD262151 CJZ262151 CTV262151 DDR262151 DNN262151 DXJ262151 EHF262151 ERB262151 FAX262151 FKT262151 FUP262151 GEL262151 GOH262151 GYD262151 HHZ262151 HRV262151 IBR262151 ILN262151 IVJ262151 JFF262151 JPB262151 JYX262151 KIT262151 KSP262151 LCL262151 LMH262151 LWD262151 MFZ262151 MPV262151 MZR262151 NJN262151 NTJ262151 ODF262151 ONB262151 OWX262151 PGT262151 PQP262151 QAL262151 QKH262151 QUD262151 RDZ262151 RNV262151 RXR262151 SHN262151 SRJ262151 TBF262151 TLB262151 TUX262151 UET262151 UOP262151 UYL262151 VIH262151 VSD262151 WBZ262151 WLV262151 WVR262151 K327687 JF327687 TB327687 ACX327687 AMT327687 AWP327687 BGL327687 BQH327687 CAD327687 CJZ327687 CTV327687 DDR327687 DNN327687 DXJ327687 EHF327687 ERB327687 FAX327687 FKT327687 FUP327687 GEL327687 GOH327687 GYD327687 HHZ327687 HRV327687 IBR327687 ILN327687 IVJ327687 JFF327687 JPB327687 JYX327687 KIT327687 KSP327687 LCL327687 LMH327687 LWD327687 MFZ327687 MPV327687 MZR327687 NJN327687 NTJ327687 ODF327687 ONB327687 OWX327687 PGT327687 PQP327687 QAL327687 QKH327687 QUD327687 RDZ327687 RNV327687 RXR327687 SHN327687 SRJ327687 TBF327687 TLB327687 TUX327687 UET327687 UOP327687 UYL327687 VIH327687 VSD327687 WBZ327687 WLV327687 WVR327687 K393223 JF393223 TB393223 ACX393223 AMT393223 AWP393223 BGL393223 BQH393223 CAD393223 CJZ393223 CTV393223 DDR393223 DNN393223 DXJ393223 EHF393223 ERB393223 FAX393223 FKT393223 FUP393223 GEL393223 GOH393223 GYD393223 HHZ393223 HRV393223 IBR393223 ILN393223 IVJ393223 JFF393223 JPB393223 JYX393223 KIT393223 KSP393223 LCL393223 LMH393223 LWD393223 MFZ393223 MPV393223 MZR393223 NJN393223 NTJ393223 ODF393223 ONB393223 OWX393223 PGT393223 PQP393223 QAL393223 QKH393223 QUD393223 RDZ393223 RNV393223 RXR393223 SHN393223 SRJ393223 TBF393223 TLB393223 TUX393223 UET393223 UOP393223 UYL393223 VIH393223 VSD393223 WBZ393223 WLV393223 WVR393223 K458759 JF458759 TB458759 ACX458759 AMT458759 AWP458759 BGL458759 BQH458759 CAD458759 CJZ458759 CTV458759 DDR458759 DNN458759 DXJ458759 EHF458759 ERB458759 FAX458759 FKT458759 FUP458759 GEL458759 GOH458759 GYD458759 HHZ458759 HRV458759 IBR458759 ILN458759 IVJ458759 JFF458759 JPB458759 JYX458759 KIT458759 KSP458759 LCL458759 LMH458759 LWD458759 MFZ458759 MPV458759 MZR458759 NJN458759 NTJ458759 ODF458759 ONB458759 OWX458759 PGT458759 PQP458759 QAL458759 QKH458759 QUD458759 RDZ458759 RNV458759 RXR458759 SHN458759 SRJ458759 TBF458759 TLB458759 TUX458759 UET458759 UOP458759 UYL458759 VIH458759 VSD458759 WBZ458759 WLV458759 WVR458759 K524295 JF524295 TB524295 ACX524295 AMT524295 AWP524295 BGL524295 BQH524295 CAD524295 CJZ524295 CTV524295 DDR524295 DNN524295 DXJ524295 EHF524295 ERB524295 FAX524295 FKT524295 FUP524295 GEL524295 GOH524295 GYD524295 HHZ524295 HRV524295 IBR524295 ILN524295 IVJ524295 JFF524295 JPB524295 JYX524295 KIT524295 KSP524295 LCL524295 LMH524295 LWD524295 MFZ524295 MPV524295 MZR524295 NJN524295 NTJ524295 ODF524295 ONB524295 OWX524295 PGT524295 PQP524295 QAL524295 QKH524295 QUD524295 RDZ524295 RNV524295 RXR524295 SHN524295 SRJ524295 TBF524295 TLB524295 TUX524295 UET524295 UOP524295 UYL524295 VIH524295 VSD524295 WBZ524295 WLV524295 WVR524295 K589831 JF589831 TB589831 ACX589831 AMT589831 AWP589831 BGL589831 BQH589831 CAD589831 CJZ589831 CTV589831 DDR589831 DNN589831 DXJ589831 EHF589831 ERB589831 FAX589831 FKT589831 FUP589831 GEL589831 GOH589831 GYD589831 HHZ589831 HRV589831 IBR589831 ILN589831 IVJ589831 JFF589831 JPB589831 JYX589831 KIT589831 KSP589831 LCL589831 LMH589831 LWD589831 MFZ589831 MPV589831 MZR589831 NJN589831 NTJ589831 ODF589831 ONB589831 OWX589831 PGT589831 PQP589831 QAL589831 QKH589831 QUD589831 RDZ589831 RNV589831 RXR589831 SHN589831 SRJ589831 TBF589831 TLB589831 TUX589831 UET589831 UOP589831 UYL589831 VIH589831 VSD589831 WBZ589831 WLV589831 WVR589831 K655367 JF655367 TB655367 ACX655367 AMT655367 AWP655367 BGL655367 BQH655367 CAD655367 CJZ655367 CTV655367 DDR655367 DNN655367 DXJ655367 EHF655367 ERB655367 FAX655367 FKT655367 FUP655367 GEL655367 GOH655367 GYD655367 HHZ655367 HRV655367 IBR655367 ILN655367 IVJ655367 JFF655367 JPB655367 JYX655367 KIT655367 KSP655367 LCL655367 LMH655367 LWD655367 MFZ655367 MPV655367 MZR655367 NJN655367 NTJ655367 ODF655367 ONB655367 OWX655367 PGT655367 PQP655367 QAL655367 QKH655367 QUD655367 RDZ655367 RNV655367 RXR655367 SHN655367 SRJ655367 TBF655367 TLB655367 TUX655367 UET655367 UOP655367 UYL655367 VIH655367 VSD655367 WBZ655367 WLV655367 WVR655367 K720903 JF720903 TB720903 ACX720903 AMT720903 AWP720903 BGL720903 BQH720903 CAD720903 CJZ720903 CTV720903 DDR720903 DNN720903 DXJ720903 EHF720903 ERB720903 FAX720903 FKT720903 FUP720903 GEL720903 GOH720903 GYD720903 HHZ720903 HRV720903 IBR720903 ILN720903 IVJ720903 JFF720903 JPB720903 JYX720903 KIT720903 KSP720903 LCL720903 LMH720903 LWD720903 MFZ720903 MPV720903 MZR720903 NJN720903 NTJ720903 ODF720903 ONB720903 OWX720903 PGT720903 PQP720903 QAL720903 QKH720903 QUD720903 RDZ720903 RNV720903 RXR720903 SHN720903 SRJ720903 TBF720903 TLB720903 TUX720903 UET720903 UOP720903 UYL720903 VIH720903 VSD720903 WBZ720903 WLV720903 WVR720903 K786439 JF786439 TB786439 ACX786439 AMT786439 AWP786439 BGL786439 BQH786439 CAD786439 CJZ786439 CTV786439 DDR786439 DNN786439 DXJ786439 EHF786439 ERB786439 FAX786439 FKT786439 FUP786439 GEL786439 GOH786439 GYD786439 HHZ786439 HRV786439 IBR786439 ILN786439 IVJ786439 JFF786439 JPB786439 JYX786439 KIT786439 KSP786439 LCL786439 LMH786439 LWD786439 MFZ786439 MPV786439 MZR786439 NJN786439 NTJ786439 ODF786439 ONB786439 OWX786439 PGT786439 PQP786439 QAL786439 QKH786439 QUD786439 RDZ786439 RNV786439 RXR786439 SHN786439 SRJ786439 TBF786439 TLB786439 TUX786439 UET786439 UOP786439 UYL786439 VIH786439 VSD786439 WBZ786439 WLV786439 WVR786439 K851975 JF851975 TB851975 ACX851975 AMT851975 AWP851975 BGL851975 BQH851975 CAD851975 CJZ851975 CTV851975 DDR851975 DNN851975 DXJ851975 EHF851975 ERB851975 FAX851975 FKT851975 FUP851975 GEL851975 GOH851975 GYD851975 HHZ851975 HRV851975 IBR851975 ILN851975 IVJ851975 JFF851975 JPB851975 JYX851975 KIT851975 KSP851975 LCL851975 LMH851975 LWD851975 MFZ851975 MPV851975 MZR851975 NJN851975 NTJ851975 ODF851975 ONB851975 OWX851975 PGT851975 PQP851975 QAL851975 QKH851975 QUD851975 RDZ851975 RNV851975 RXR851975 SHN851975 SRJ851975 TBF851975 TLB851975 TUX851975 UET851975 UOP851975 UYL851975 VIH851975 VSD851975 WBZ851975 WLV851975 WVR851975 K917511 JF917511 TB917511 ACX917511 AMT917511 AWP917511 BGL917511 BQH917511 CAD917511 CJZ917511 CTV917511 DDR917511 DNN917511 DXJ917511 EHF917511 ERB917511 FAX917511 FKT917511 FUP917511 GEL917511 GOH917511 GYD917511 HHZ917511 HRV917511 IBR917511 ILN917511 IVJ917511 JFF917511 JPB917511 JYX917511 KIT917511 KSP917511 LCL917511 LMH917511 LWD917511 MFZ917511 MPV917511 MZR917511 NJN917511 NTJ917511 ODF917511 ONB917511 OWX917511 PGT917511 PQP917511 QAL917511 QKH917511 QUD917511 RDZ917511 RNV917511 RXR917511 SHN917511 SRJ917511 TBF917511 TLB917511 TUX917511 UET917511 UOP917511 UYL917511 VIH917511 VSD917511 WBZ917511 WLV917511 WVR917511 K983047 JF983047 TB983047 ACX983047 AMT983047 AWP983047 BGL983047 BQH983047 CAD983047 CJZ983047 CTV983047 DDR983047 DNN983047 DXJ983047 EHF983047 ERB983047 FAX983047 FKT983047 FUP983047 GEL983047 GOH983047 GYD983047 HHZ983047 HRV983047 IBR983047 ILN983047 IVJ983047 JFF983047 JPB983047 JYX983047 KIT983047 KSP983047 LCL983047 LMH983047 LWD983047 MFZ983047 MPV983047 MZR983047 NJN983047 NTJ983047 ODF983047 ONB983047 OWX983047 PGT983047 PQP983047 QAL983047 QKH983047 QUD983047 RDZ983047 RNV983047 RXR983047 SHN983047 SRJ983047 TBF983047 TLB983047 TUX983047 UET983047 UOP983047 UYL983047 VIH983047 VSD983047 WBZ983047 WLV983047 WVR983047" xr:uid="{00000000-0002-0000-0500-000000000000}">
      <formula1>$V$10:$V$11</formula1>
    </dataValidation>
    <dataValidation type="list" allowBlank="1" showInputMessage="1" showErrorMessage="1" sqref="WVP983067:WVP983071 WLT983067:WLT983071 WBX983067:WBX983071 VSB983067:VSB983071 VIF983067:VIF983071 UYJ983067:UYJ983071 UON983067:UON983071 UER983067:UER983071 TUV983067:TUV983071 TKZ983067:TKZ983071 TBD983067:TBD983071 SRH983067:SRH983071 SHL983067:SHL983071 RXP983067:RXP983071 RNT983067:RNT983071 RDX983067:RDX983071 QUB983067:QUB983071 QKF983067:QKF983071 QAJ983067:QAJ983071 PQN983067:PQN983071 PGR983067:PGR983071 OWV983067:OWV983071 OMZ983067:OMZ983071 ODD983067:ODD983071 NTH983067:NTH983071 NJL983067:NJL983071 MZP983067:MZP983071 MPT983067:MPT983071 MFX983067:MFX983071 LWB983067:LWB983071 LMF983067:LMF983071 LCJ983067:LCJ983071 KSN983067:KSN983071 KIR983067:KIR983071 JYV983067:JYV983071 JOZ983067:JOZ983071 JFD983067:JFD983071 IVH983067:IVH983071 ILL983067:ILL983071 IBP983067:IBP983071 HRT983067:HRT983071 HHX983067:HHX983071 GYB983067:GYB983071 GOF983067:GOF983071 GEJ983067:GEJ983071 FUN983067:FUN983071 FKR983067:FKR983071 FAV983067:FAV983071 EQZ983067:EQZ983071 EHD983067:EHD983071 DXH983067:DXH983071 DNL983067:DNL983071 DDP983067:DDP983071 CTT983067:CTT983071 CJX983067:CJX983071 CAB983067:CAB983071 BQF983067:BQF983071 BGJ983067:BGJ983071 AWN983067:AWN983071 AMR983067:AMR983071 ACV983067:ACV983071 SZ983067:SZ983071 JD983067:JD983071 I983067:I983071 WVP917531:WVP917535 WLT917531:WLT917535 WBX917531:WBX917535 VSB917531:VSB917535 VIF917531:VIF917535 UYJ917531:UYJ917535 UON917531:UON917535 UER917531:UER917535 TUV917531:TUV917535 TKZ917531:TKZ917535 TBD917531:TBD917535 SRH917531:SRH917535 SHL917531:SHL917535 RXP917531:RXP917535 RNT917531:RNT917535 RDX917531:RDX917535 QUB917531:QUB917535 QKF917531:QKF917535 QAJ917531:QAJ917535 PQN917531:PQN917535 PGR917531:PGR917535 OWV917531:OWV917535 OMZ917531:OMZ917535 ODD917531:ODD917535 NTH917531:NTH917535 NJL917531:NJL917535 MZP917531:MZP917535 MPT917531:MPT917535 MFX917531:MFX917535 LWB917531:LWB917535 LMF917531:LMF917535 LCJ917531:LCJ917535 KSN917531:KSN917535 KIR917531:KIR917535 JYV917531:JYV917535 JOZ917531:JOZ917535 JFD917531:JFD917535 IVH917531:IVH917535 ILL917531:ILL917535 IBP917531:IBP917535 HRT917531:HRT917535 HHX917531:HHX917535 GYB917531:GYB917535 GOF917531:GOF917535 GEJ917531:GEJ917535 FUN917531:FUN917535 FKR917531:FKR917535 FAV917531:FAV917535 EQZ917531:EQZ917535 EHD917531:EHD917535 DXH917531:DXH917535 DNL917531:DNL917535 DDP917531:DDP917535 CTT917531:CTT917535 CJX917531:CJX917535 CAB917531:CAB917535 BQF917531:BQF917535 BGJ917531:BGJ917535 AWN917531:AWN917535 AMR917531:AMR917535 ACV917531:ACV917535 SZ917531:SZ917535 JD917531:JD917535 I917531:I917535 WVP851995:WVP851999 WLT851995:WLT851999 WBX851995:WBX851999 VSB851995:VSB851999 VIF851995:VIF851999 UYJ851995:UYJ851999 UON851995:UON851999 UER851995:UER851999 TUV851995:TUV851999 TKZ851995:TKZ851999 TBD851995:TBD851999 SRH851995:SRH851999 SHL851995:SHL851999 RXP851995:RXP851999 RNT851995:RNT851999 RDX851995:RDX851999 QUB851995:QUB851999 QKF851995:QKF851999 QAJ851995:QAJ851999 PQN851995:PQN851999 PGR851995:PGR851999 OWV851995:OWV851999 OMZ851995:OMZ851999 ODD851995:ODD851999 NTH851995:NTH851999 NJL851995:NJL851999 MZP851995:MZP851999 MPT851995:MPT851999 MFX851995:MFX851999 LWB851995:LWB851999 LMF851995:LMF851999 LCJ851995:LCJ851999 KSN851995:KSN851999 KIR851995:KIR851999 JYV851995:JYV851999 JOZ851995:JOZ851999 JFD851995:JFD851999 IVH851995:IVH851999 ILL851995:ILL851999 IBP851995:IBP851999 HRT851995:HRT851999 HHX851995:HHX851999 GYB851995:GYB851999 GOF851995:GOF851999 GEJ851995:GEJ851999 FUN851995:FUN851999 FKR851995:FKR851999 FAV851995:FAV851999 EQZ851995:EQZ851999 EHD851995:EHD851999 DXH851995:DXH851999 DNL851995:DNL851999 DDP851995:DDP851999 CTT851995:CTT851999 CJX851995:CJX851999 CAB851995:CAB851999 BQF851995:BQF851999 BGJ851995:BGJ851999 AWN851995:AWN851999 AMR851995:AMR851999 ACV851995:ACV851999 SZ851995:SZ851999 JD851995:JD851999 I851995:I851999 WVP786459:WVP786463 WLT786459:WLT786463 WBX786459:WBX786463 VSB786459:VSB786463 VIF786459:VIF786463 UYJ786459:UYJ786463 UON786459:UON786463 UER786459:UER786463 TUV786459:TUV786463 TKZ786459:TKZ786463 TBD786459:TBD786463 SRH786459:SRH786463 SHL786459:SHL786463 RXP786459:RXP786463 RNT786459:RNT786463 RDX786459:RDX786463 QUB786459:QUB786463 QKF786459:QKF786463 QAJ786459:QAJ786463 PQN786459:PQN786463 PGR786459:PGR786463 OWV786459:OWV786463 OMZ786459:OMZ786463 ODD786459:ODD786463 NTH786459:NTH786463 NJL786459:NJL786463 MZP786459:MZP786463 MPT786459:MPT786463 MFX786459:MFX786463 LWB786459:LWB786463 LMF786459:LMF786463 LCJ786459:LCJ786463 KSN786459:KSN786463 KIR786459:KIR786463 JYV786459:JYV786463 JOZ786459:JOZ786463 JFD786459:JFD786463 IVH786459:IVH786463 ILL786459:ILL786463 IBP786459:IBP786463 HRT786459:HRT786463 HHX786459:HHX786463 GYB786459:GYB786463 GOF786459:GOF786463 GEJ786459:GEJ786463 FUN786459:FUN786463 FKR786459:FKR786463 FAV786459:FAV786463 EQZ786459:EQZ786463 EHD786459:EHD786463 DXH786459:DXH786463 DNL786459:DNL786463 DDP786459:DDP786463 CTT786459:CTT786463 CJX786459:CJX786463 CAB786459:CAB786463 BQF786459:BQF786463 BGJ786459:BGJ786463 AWN786459:AWN786463 AMR786459:AMR786463 ACV786459:ACV786463 SZ786459:SZ786463 JD786459:JD786463 I786459:I786463 WVP720923:WVP720927 WLT720923:WLT720927 WBX720923:WBX720927 VSB720923:VSB720927 VIF720923:VIF720927 UYJ720923:UYJ720927 UON720923:UON720927 UER720923:UER720927 TUV720923:TUV720927 TKZ720923:TKZ720927 TBD720923:TBD720927 SRH720923:SRH720927 SHL720923:SHL720927 RXP720923:RXP720927 RNT720923:RNT720927 RDX720923:RDX720927 QUB720923:QUB720927 QKF720923:QKF720927 QAJ720923:QAJ720927 PQN720923:PQN720927 PGR720923:PGR720927 OWV720923:OWV720927 OMZ720923:OMZ720927 ODD720923:ODD720927 NTH720923:NTH720927 NJL720923:NJL720927 MZP720923:MZP720927 MPT720923:MPT720927 MFX720923:MFX720927 LWB720923:LWB720927 LMF720923:LMF720927 LCJ720923:LCJ720927 KSN720923:KSN720927 KIR720923:KIR720927 JYV720923:JYV720927 JOZ720923:JOZ720927 JFD720923:JFD720927 IVH720923:IVH720927 ILL720923:ILL720927 IBP720923:IBP720927 HRT720923:HRT720927 HHX720923:HHX720927 GYB720923:GYB720927 GOF720923:GOF720927 GEJ720923:GEJ720927 FUN720923:FUN720927 FKR720923:FKR720927 FAV720923:FAV720927 EQZ720923:EQZ720927 EHD720923:EHD720927 DXH720923:DXH720927 DNL720923:DNL720927 DDP720923:DDP720927 CTT720923:CTT720927 CJX720923:CJX720927 CAB720923:CAB720927 BQF720923:BQF720927 BGJ720923:BGJ720927 AWN720923:AWN720927 AMR720923:AMR720927 ACV720923:ACV720927 SZ720923:SZ720927 JD720923:JD720927 I720923:I720927 WVP655387:WVP655391 WLT655387:WLT655391 WBX655387:WBX655391 VSB655387:VSB655391 VIF655387:VIF655391 UYJ655387:UYJ655391 UON655387:UON655391 UER655387:UER655391 TUV655387:TUV655391 TKZ655387:TKZ655391 TBD655387:TBD655391 SRH655387:SRH655391 SHL655387:SHL655391 RXP655387:RXP655391 RNT655387:RNT655391 RDX655387:RDX655391 QUB655387:QUB655391 QKF655387:QKF655391 QAJ655387:QAJ655391 PQN655387:PQN655391 PGR655387:PGR655391 OWV655387:OWV655391 OMZ655387:OMZ655391 ODD655387:ODD655391 NTH655387:NTH655391 NJL655387:NJL655391 MZP655387:MZP655391 MPT655387:MPT655391 MFX655387:MFX655391 LWB655387:LWB655391 LMF655387:LMF655391 LCJ655387:LCJ655391 KSN655387:KSN655391 KIR655387:KIR655391 JYV655387:JYV655391 JOZ655387:JOZ655391 JFD655387:JFD655391 IVH655387:IVH655391 ILL655387:ILL655391 IBP655387:IBP655391 HRT655387:HRT655391 HHX655387:HHX655391 GYB655387:GYB655391 GOF655387:GOF655391 GEJ655387:GEJ655391 FUN655387:FUN655391 FKR655387:FKR655391 FAV655387:FAV655391 EQZ655387:EQZ655391 EHD655387:EHD655391 DXH655387:DXH655391 DNL655387:DNL655391 DDP655387:DDP655391 CTT655387:CTT655391 CJX655387:CJX655391 CAB655387:CAB655391 BQF655387:BQF655391 BGJ655387:BGJ655391 AWN655387:AWN655391 AMR655387:AMR655391 ACV655387:ACV655391 SZ655387:SZ655391 JD655387:JD655391 I655387:I655391 WVP589851:WVP589855 WLT589851:WLT589855 WBX589851:WBX589855 VSB589851:VSB589855 VIF589851:VIF589855 UYJ589851:UYJ589855 UON589851:UON589855 UER589851:UER589855 TUV589851:TUV589855 TKZ589851:TKZ589855 TBD589851:TBD589855 SRH589851:SRH589855 SHL589851:SHL589855 RXP589851:RXP589855 RNT589851:RNT589855 RDX589851:RDX589855 QUB589851:QUB589855 QKF589851:QKF589855 QAJ589851:QAJ589855 PQN589851:PQN589855 PGR589851:PGR589855 OWV589851:OWV589855 OMZ589851:OMZ589855 ODD589851:ODD589855 NTH589851:NTH589855 NJL589851:NJL589855 MZP589851:MZP589855 MPT589851:MPT589855 MFX589851:MFX589855 LWB589851:LWB589855 LMF589851:LMF589855 LCJ589851:LCJ589855 KSN589851:KSN589855 KIR589851:KIR589855 JYV589851:JYV589855 JOZ589851:JOZ589855 JFD589851:JFD589855 IVH589851:IVH589855 ILL589851:ILL589855 IBP589851:IBP589855 HRT589851:HRT589855 HHX589851:HHX589855 GYB589851:GYB589855 GOF589851:GOF589855 GEJ589851:GEJ589855 FUN589851:FUN589855 FKR589851:FKR589855 FAV589851:FAV589855 EQZ589851:EQZ589855 EHD589851:EHD589855 DXH589851:DXH589855 DNL589851:DNL589855 DDP589851:DDP589855 CTT589851:CTT589855 CJX589851:CJX589855 CAB589851:CAB589855 BQF589851:BQF589855 BGJ589851:BGJ589855 AWN589851:AWN589855 AMR589851:AMR589855 ACV589851:ACV589855 SZ589851:SZ589855 JD589851:JD589855 I589851:I589855 WVP524315:WVP524319 WLT524315:WLT524319 WBX524315:WBX524319 VSB524315:VSB524319 VIF524315:VIF524319 UYJ524315:UYJ524319 UON524315:UON524319 UER524315:UER524319 TUV524315:TUV524319 TKZ524315:TKZ524319 TBD524315:TBD524319 SRH524315:SRH524319 SHL524315:SHL524319 RXP524315:RXP524319 RNT524315:RNT524319 RDX524315:RDX524319 QUB524315:QUB524319 QKF524315:QKF524319 QAJ524315:QAJ524319 PQN524315:PQN524319 PGR524315:PGR524319 OWV524315:OWV524319 OMZ524315:OMZ524319 ODD524315:ODD524319 NTH524315:NTH524319 NJL524315:NJL524319 MZP524315:MZP524319 MPT524315:MPT524319 MFX524315:MFX524319 LWB524315:LWB524319 LMF524315:LMF524319 LCJ524315:LCJ524319 KSN524315:KSN524319 KIR524315:KIR524319 JYV524315:JYV524319 JOZ524315:JOZ524319 JFD524315:JFD524319 IVH524315:IVH524319 ILL524315:ILL524319 IBP524315:IBP524319 HRT524315:HRT524319 HHX524315:HHX524319 GYB524315:GYB524319 GOF524315:GOF524319 GEJ524315:GEJ524319 FUN524315:FUN524319 FKR524315:FKR524319 FAV524315:FAV524319 EQZ524315:EQZ524319 EHD524315:EHD524319 DXH524315:DXH524319 DNL524315:DNL524319 DDP524315:DDP524319 CTT524315:CTT524319 CJX524315:CJX524319 CAB524315:CAB524319 BQF524315:BQF524319 BGJ524315:BGJ524319 AWN524315:AWN524319 AMR524315:AMR524319 ACV524315:ACV524319 SZ524315:SZ524319 JD524315:JD524319 I524315:I524319 WVP458779:WVP458783 WLT458779:WLT458783 WBX458779:WBX458783 VSB458779:VSB458783 VIF458779:VIF458783 UYJ458779:UYJ458783 UON458779:UON458783 UER458779:UER458783 TUV458779:TUV458783 TKZ458779:TKZ458783 TBD458779:TBD458783 SRH458779:SRH458783 SHL458779:SHL458783 RXP458779:RXP458783 RNT458779:RNT458783 RDX458779:RDX458783 QUB458779:QUB458783 QKF458779:QKF458783 QAJ458779:QAJ458783 PQN458779:PQN458783 PGR458779:PGR458783 OWV458779:OWV458783 OMZ458779:OMZ458783 ODD458779:ODD458783 NTH458779:NTH458783 NJL458779:NJL458783 MZP458779:MZP458783 MPT458779:MPT458783 MFX458779:MFX458783 LWB458779:LWB458783 LMF458779:LMF458783 LCJ458779:LCJ458783 KSN458779:KSN458783 KIR458779:KIR458783 JYV458779:JYV458783 JOZ458779:JOZ458783 JFD458779:JFD458783 IVH458779:IVH458783 ILL458779:ILL458783 IBP458779:IBP458783 HRT458779:HRT458783 HHX458779:HHX458783 GYB458779:GYB458783 GOF458779:GOF458783 GEJ458779:GEJ458783 FUN458779:FUN458783 FKR458779:FKR458783 FAV458779:FAV458783 EQZ458779:EQZ458783 EHD458779:EHD458783 DXH458779:DXH458783 DNL458779:DNL458783 DDP458779:DDP458783 CTT458779:CTT458783 CJX458779:CJX458783 CAB458779:CAB458783 BQF458779:BQF458783 BGJ458779:BGJ458783 AWN458779:AWN458783 AMR458779:AMR458783 ACV458779:ACV458783 SZ458779:SZ458783 JD458779:JD458783 I458779:I458783 WVP393243:WVP393247 WLT393243:WLT393247 WBX393243:WBX393247 VSB393243:VSB393247 VIF393243:VIF393247 UYJ393243:UYJ393247 UON393243:UON393247 UER393243:UER393247 TUV393243:TUV393247 TKZ393243:TKZ393247 TBD393243:TBD393247 SRH393243:SRH393247 SHL393243:SHL393247 RXP393243:RXP393247 RNT393243:RNT393247 RDX393243:RDX393247 QUB393243:QUB393247 QKF393243:QKF393247 QAJ393243:QAJ393247 PQN393243:PQN393247 PGR393243:PGR393247 OWV393243:OWV393247 OMZ393243:OMZ393247 ODD393243:ODD393247 NTH393243:NTH393247 NJL393243:NJL393247 MZP393243:MZP393247 MPT393243:MPT393247 MFX393243:MFX393247 LWB393243:LWB393247 LMF393243:LMF393247 LCJ393243:LCJ393247 KSN393243:KSN393247 KIR393243:KIR393247 JYV393243:JYV393247 JOZ393243:JOZ393247 JFD393243:JFD393247 IVH393243:IVH393247 ILL393243:ILL393247 IBP393243:IBP393247 HRT393243:HRT393247 HHX393243:HHX393247 GYB393243:GYB393247 GOF393243:GOF393247 GEJ393243:GEJ393247 FUN393243:FUN393247 FKR393243:FKR393247 FAV393243:FAV393247 EQZ393243:EQZ393247 EHD393243:EHD393247 DXH393243:DXH393247 DNL393243:DNL393247 DDP393243:DDP393247 CTT393243:CTT393247 CJX393243:CJX393247 CAB393243:CAB393247 BQF393243:BQF393247 BGJ393243:BGJ393247 AWN393243:AWN393247 AMR393243:AMR393247 ACV393243:ACV393247 SZ393243:SZ393247 JD393243:JD393247 I393243:I393247 WVP327707:WVP327711 WLT327707:WLT327711 WBX327707:WBX327711 VSB327707:VSB327711 VIF327707:VIF327711 UYJ327707:UYJ327711 UON327707:UON327711 UER327707:UER327711 TUV327707:TUV327711 TKZ327707:TKZ327711 TBD327707:TBD327711 SRH327707:SRH327711 SHL327707:SHL327711 RXP327707:RXP327711 RNT327707:RNT327711 RDX327707:RDX327711 QUB327707:QUB327711 QKF327707:QKF327711 QAJ327707:QAJ327711 PQN327707:PQN327711 PGR327707:PGR327711 OWV327707:OWV327711 OMZ327707:OMZ327711 ODD327707:ODD327711 NTH327707:NTH327711 NJL327707:NJL327711 MZP327707:MZP327711 MPT327707:MPT327711 MFX327707:MFX327711 LWB327707:LWB327711 LMF327707:LMF327711 LCJ327707:LCJ327711 KSN327707:KSN327711 KIR327707:KIR327711 JYV327707:JYV327711 JOZ327707:JOZ327711 JFD327707:JFD327711 IVH327707:IVH327711 ILL327707:ILL327711 IBP327707:IBP327711 HRT327707:HRT327711 HHX327707:HHX327711 GYB327707:GYB327711 GOF327707:GOF327711 GEJ327707:GEJ327711 FUN327707:FUN327711 FKR327707:FKR327711 FAV327707:FAV327711 EQZ327707:EQZ327711 EHD327707:EHD327711 DXH327707:DXH327711 DNL327707:DNL327711 DDP327707:DDP327711 CTT327707:CTT327711 CJX327707:CJX327711 CAB327707:CAB327711 BQF327707:BQF327711 BGJ327707:BGJ327711 AWN327707:AWN327711 AMR327707:AMR327711 ACV327707:ACV327711 SZ327707:SZ327711 JD327707:JD327711 I327707:I327711 WVP262171:WVP262175 WLT262171:WLT262175 WBX262171:WBX262175 VSB262171:VSB262175 VIF262171:VIF262175 UYJ262171:UYJ262175 UON262171:UON262175 UER262171:UER262175 TUV262171:TUV262175 TKZ262171:TKZ262175 TBD262171:TBD262175 SRH262171:SRH262175 SHL262171:SHL262175 RXP262171:RXP262175 RNT262171:RNT262175 RDX262171:RDX262175 QUB262171:QUB262175 QKF262171:QKF262175 QAJ262171:QAJ262175 PQN262171:PQN262175 PGR262171:PGR262175 OWV262171:OWV262175 OMZ262171:OMZ262175 ODD262171:ODD262175 NTH262171:NTH262175 NJL262171:NJL262175 MZP262171:MZP262175 MPT262171:MPT262175 MFX262171:MFX262175 LWB262171:LWB262175 LMF262171:LMF262175 LCJ262171:LCJ262175 KSN262171:KSN262175 KIR262171:KIR262175 JYV262171:JYV262175 JOZ262171:JOZ262175 JFD262171:JFD262175 IVH262171:IVH262175 ILL262171:ILL262175 IBP262171:IBP262175 HRT262171:HRT262175 HHX262171:HHX262175 GYB262171:GYB262175 GOF262171:GOF262175 GEJ262171:GEJ262175 FUN262171:FUN262175 FKR262171:FKR262175 FAV262171:FAV262175 EQZ262171:EQZ262175 EHD262171:EHD262175 DXH262171:DXH262175 DNL262171:DNL262175 DDP262171:DDP262175 CTT262171:CTT262175 CJX262171:CJX262175 CAB262171:CAB262175 BQF262171:BQF262175 BGJ262171:BGJ262175 AWN262171:AWN262175 AMR262171:AMR262175 ACV262171:ACV262175 SZ262171:SZ262175 JD262171:JD262175 I262171:I262175 WVP196635:WVP196639 WLT196635:WLT196639 WBX196635:WBX196639 VSB196635:VSB196639 VIF196635:VIF196639 UYJ196635:UYJ196639 UON196635:UON196639 UER196635:UER196639 TUV196635:TUV196639 TKZ196635:TKZ196639 TBD196635:TBD196639 SRH196635:SRH196639 SHL196635:SHL196639 RXP196635:RXP196639 RNT196635:RNT196639 RDX196635:RDX196639 QUB196635:QUB196639 QKF196635:QKF196639 QAJ196635:QAJ196639 PQN196635:PQN196639 PGR196635:PGR196639 OWV196635:OWV196639 OMZ196635:OMZ196639 ODD196635:ODD196639 NTH196635:NTH196639 NJL196635:NJL196639 MZP196635:MZP196639 MPT196635:MPT196639 MFX196635:MFX196639 LWB196635:LWB196639 LMF196635:LMF196639 LCJ196635:LCJ196639 KSN196635:KSN196639 KIR196635:KIR196639 JYV196635:JYV196639 JOZ196635:JOZ196639 JFD196635:JFD196639 IVH196635:IVH196639 ILL196635:ILL196639 IBP196635:IBP196639 HRT196635:HRT196639 HHX196635:HHX196639 GYB196635:GYB196639 GOF196635:GOF196639 GEJ196635:GEJ196639 FUN196635:FUN196639 FKR196635:FKR196639 FAV196635:FAV196639 EQZ196635:EQZ196639 EHD196635:EHD196639 DXH196635:DXH196639 DNL196635:DNL196639 DDP196635:DDP196639 CTT196635:CTT196639 CJX196635:CJX196639 CAB196635:CAB196639 BQF196635:BQF196639 BGJ196635:BGJ196639 AWN196635:AWN196639 AMR196635:AMR196639 ACV196635:ACV196639 SZ196635:SZ196639 JD196635:JD196639 I196635:I196639 WVP131099:WVP131103 WLT131099:WLT131103 WBX131099:WBX131103 VSB131099:VSB131103 VIF131099:VIF131103 UYJ131099:UYJ131103 UON131099:UON131103 UER131099:UER131103 TUV131099:TUV131103 TKZ131099:TKZ131103 TBD131099:TBD131103 SRH131099:SRH131103 SHL131099:SHL131103 RXP131099:RXP131103 RNT131099:RNT131103 RDX131099:RDX131103 QUB131099:QUB131103 QKF131099:QKF131103 QAJ131099:QAJ131103 PQN131099:PQN131103 PGR131099:PGR131103 OWV131099:OWV131103 OMZ131099:OMZ131103 ODD131099:ODD131103 NTH131099:NTH131103 NJL131099:NJL131103 MZP131099:MZP131103 MPT131099:MPT131103 MFX131099:MFX131103 LWB131099:LWB131103 LMF131099:LMF131103 LCJ131099:LCJ131103 KSN131099:KSN131103 KIR131099:KIR131103 JYV131099:JYV131103 JOZ131099:JOZ131103 JFD131099:JFD131103 IVH131099:IVH131103 ILL131099:ILL131103 IBP131099:IBP131103 HRT131099:HRT131103 HHX131099:HHX131103 GYB131099:GYB131103 GOF131099:GOF131103 GEJ131099:GEJ131103 FUN131099:FUN131103 FKR131099:FKR131103 FAV131099:FAV131103 EQZ131099:EQZ131103 EHD131099:EHD131103 DXH131099:DXH131103 DNL131099:DNL131103 DDP131099:DDP131103 CTT131099:CTT131103 CJX131099:CJX131103 CAB131099:CAB131103 BQF131099:BQF131103 BGJ131099:BGJ131103 AWN131099:AWN131103 AMR131099:AMR131103 ACV131099:ACV131103 SZ131099:SZ131103 JD131099:JD131103 I131099:I131103 WVP65563:WVP65567 WLT65563:WLT65567 WBX65563:WBX65567 VSB65563:VSB65567 VIF65563:VIF65567 UYJ65563:UYJ65567 UON65563:UON65567 UER65563:UER65567 TUV65563:TUV65567 TKZ65563:TKZ65567 TBD65563:TBD65567 SRH65563:SRH65567 SHL65563:SHL65567 RXP65563:RXP65567 RNT65563:RNT65567 RDX65563:RDX65567 QUB65563:QUB65567 QKF65563:QKF65567 QAJ65563:QAJ65567 PQN65563:PQN65567 PGR65563:PGR65567 OWV65563:OWV65567 OMZ65563:OMZ65567 ODD65563:ODD65567 NTH65563:NTH65567 NJL65563:NJL65567 MZP65563:MZP65567 MPT65563:MPT65567 MFX65563:MFX65567 LWB65563:LWB65567 LMF65563:LMF65567 LCJ65563:LCJ65567 KSN65563:KSN65567 KIR65563:KIR65567 JYV65563:JYV65567 JOZ65563:JOZ65567 JFD65563:JFD65567 IVH65563:IVH65567 ILL65563:ILL65567 IBP65563:IBP65567 HRT65563:HRT65567 HHX65563:HHX65567 GYB65563:GYB65567 GOF65563:GOF65567 GEJ65563:GEJ65567 FUN65563:FUN65567 FKR65563:FKR65567 FAV65563:FAV65567 EQZ65563:EQZ65567 EHD65563:EHD65567 DXH65563:DXH65567 DNL65563:DNL65567 DDP65563:DDP65567 CTT65563:CTT65567 CJX65563:CJX65567 CAB65563:CAB65567 BQF65563:BQF65567 BGJ65563:BGJ65567 AWN65563:AWN65567 AMR65563:AMR65567 ACV65563:ACV65567 SZ65563:SZ65567 JD65563:JD65567 I65563:I65567" xr:uid="{00000000-0002-0000-0500-000001000000}">
      <formula1>$B$38:$B$39</formula1>
    </dataValidation>
    <dataValidation type="list" allowBlank="1" showInputMessage="1" showErrorMessage="1" sqref="WVQ983067:WVQ983071 WLU983067:WLU983071 WBY983067:WBY983071 VSC983067:VSC983071 VIG983067:VIG983071 UYK983067:UYK983071 UOO983067:UOO983071 UES983067:UES983071 TUW983067:TUW983071 TLA983067:TLA983071 TBE983067:TBE983071 SRI983067:SRI983071 SHM983067:SHM983071 RXQ983067:RXQ983071 RNU983067:RNU983071 RDY983067:RDY983071 QUC983067:QUC983071 QKG983067:QKG983071 QAK983067:QAK983071 PQO983067:PQO983071 PGS983067:PGS983071 OWW983067:OWW983071 ONA983067:ONA983071 ODE983067:ODE983071 NTI983067:NTI983071 NJM983067:NJM983071 MZQ983067:MZQ983071 MPU983067:MPU983071 MFY983067:MFY983071 LWC983067:LWC983071 LMG983067:LMG983071 LCK983067:LCK983071 KSO983067:KSO983071 KIS983067:KIS983071 JYW983067:JYW983071 JPA983067:JPA983071 JFE983067:JFE983071 IVI983067:IVI983071 ILM983067:ILM983071 IBQ983067:IBQ983071 HRU983067:HRU983071 HHY983067:HHY983071 GYC983067:GYC983071 GOG983067:GOG983071 GEK983067:GEK983071 FUO983067:FUO983071 FKS983067:FKS983071 FAW983067:FAW983071 ERA983067:ERA983071 EHE983067:EHE983071 DXI983067:DXI983071 DNM983067:DNM983071 DDQ983067:DDQ983071 CTU983067:CTU983071 CJY983067:CJY983071 CAC983067:CAC983071 BQG983067:BQG983071 BGK983067:BGK983071 AWO983067:AWO983071 AMS983067:AMS983071 ACW983067:ACW983071 TA983067:TA983071 JE983067:JE983071 J983067:J983071 WVQ917531:WVQ917535 WLU917531:WLU917535 WBY917531:WBY917535 VSC917531:VSC917535 VIG917531:VIG917535 UYK917531:UYK917535 UOO917531:UOO917535 UES917531:UES917535 TUW917531:TUW917535 TLA917531:TLA917535 TBE917531:TBE917535 SRI917531:SRI917535 SHM917531:SHM917535 RXQ917531:RXQ917535 RNU917531:RNU917535 RDY917531:RDY917535 QUC917531:QUC917535 QKG917531:QKG917535 QAK917531:QAK917535 PQO917531:PQO917535 PGS917531:PGS917535 OWW917531:OWW917535 ONA917531:ONA917535 ODE917531:ODE917535 NTI917531:NTI917535 NJM917531:NJM917535 MZQ917531:MZQ917535 MPU917531:MPU917535 MFY917531:MFY917535 LWC917531:LWC917535 LMG917531:LMG917535 LCK917531:LCK917535 KSO917531:KSO917535 KIS917531:KIS917535 JYW917531:JYW917535 JPA917531:JPA917535 JFE917531:JFE917535 IVI917531:IVI917535 ILM917531:ILM917535 IBQ917531:IBQ917535 HRU917531:HRU917535 HHY917531:HHY917535 GYC917531:GYC917535 GOG917531:GOG917535 GEK917531:GEK917535 FUO917531:FUO917535 FKS917531:FKS917535 FAW917531:FAW917535 ERA917531:ERA917535 EHE917531:EHE917535 DXI917531:DXI917535 DNM917531:DNM917535 DDQ917531:DDQ917535 CTU917531:CTU917535 CJY917531:CJY917535 CAC917531:CAC917535 BQG917531:BQG917535 BGK917531:BGK917535 AWO917531:AWO917535 AMS917531:AMS917535 ACW917531:ACW917535 TA917531:TA917535 JE917531:JE917535 J917531:J917535 WVQ851995:WVQ851999 WLU851995:WLU851999 WBY851995:WBY851999 VSC851995:VSC851999 VIG851995:VIG851999 UYK851995:UYK851999 UOO851995:UOO851999 UES851995:UES851999 TUW851995:TUW851999 TLA851995:TLA851999 TBE851995:TBE851999 SRI851995:SRI851999 SHM851995:SHM851999 RXQ851995:RXQ851999 RNU851995:RNU851999 RDY851995:RDY851999 QUC851995:QUC851999 QKG851995:QKG851999 QAK851995:QAK851999 PQO851995:PQO851999 PGS851995:PGS851999 OWW851995:OWW851999 ONA851995:ONA851999 ODE851995:ODE851999 NTI851995:NTI851999 NJM851995:NJM851999 MZQ851995:MZQ851999 MPU851995:MPU851999 MFY851995:MFY851999 LWC851995:LWC851999 LMG851995:LMG851999 LCK851995:LCK851999 KSO851995:KSO851999 KIS851995:KIS851999 JYW851995:JYW851999 JPA851995:JPA851999 JFE851995:JFE851999 IVI851995:IVI851999 ILM851995:ILM851999 IBQ851995:IBQ851999 HRU851995:HRU851999 HHY851995:HHY851999 GYC851995:GYC851999 GOG851995:GOG851999 GEK851995:GEK851999 FUO851995:FUO851999 FKS851995:FKS851999 FAW851995:FAW851999 ERA851995:ERA851999 EHE851995:EHE851999 DXI851995:DXI851999 DNM851995:DNM851999 DDQ851995:DDQ851999 CTU851995:CTU851999 CJY851995:CJY851999 CAC851995:CAC851999 BQG851995:BQG851999 BGK851995:BGK851999 AWO851995:AWO851999 AMS851995:AMS851999 ACW851995:ACW851999 TA851995:TA851999 JE851995:JE851999 J851995:J851999 WVQ786459:WVQ786463 WLU786459:WLU786463 WBY786459:WBY786463 VSC786459:VSC786463 VIG786459:VIG786463 UYK786459:UYK786463 UOO786459:UOO786463 UES786459:UES786463 TUW786459:TUW786463 TLA786459:TLA786463 TBE786459:TBE786463 SRI786459:SRI786463 SHM786459:SHM786463 RXQ786459:RXQ786463 RNU786459:RNU786463 RDY786459:RDY786463 QUC786459:QUC786463 QKG786459:QKG786463 QAK786459:QAK786463 PQO786459:PQO786463 PGS786459:PGS786463 OWW786459:OWW786463 ONA786459:ONA786463 ODE786459:ODE786463 NTI786459:NTI786463 NJM786459:NJM786463 MZQ786459:MZQ786463 MPU786459:MPU786463 MFY786459:MFY786463 LWC786459:LWC786463 LMG786459:LMG786463 LCK786459:LCK786463 KSO786459:KSO786463 KIS786459:KIS786463 JYW786459:JYW786463 JPA786459:JPA786463 JFE786459:JFE786463 IVI786459:IVI786463 ILM786459:ILM786463 IBQ786459:IBQ786463 HRU786459:HRU786463 HHY786459:HHY786463 GYC786459:GYC786463 GOG786459:GOG786463 GEK786459:GEK786463 FUO786459:FUO786463 FKS786459:FKS786463 FAW786459:FAW786463 ERA786459:ERA786463 EHE786459:EHE786463 DXI786459:DXI786463 DNM786459:DNM786463 DDQ786459:DDQ786463 CTU786459:CTU786463 CJY786459:CJY786463 CAC786459:CAC786463 BQG786459:BQG786463 BGK786459:BGK786463 AWO786459:AWO786463 AMS786459:AMS786463 ACW786459:ACW786463 TA786459:TA786463 JE786459:JE786463 J786459:J786463 WVQ720923:WVQ720927 WLU720923:WLU720927 WBY720923:WBY720927 VSC720923:VSC720927 VIG720923:VIG720927 UYK720923:UYK720927 UOO720923:UOO720927 UES720923:UES720927 TUW720923:TUW720927 TLA720923:TLA720927 TBE720923:TBE720927 SRI720923:SRI720927 SHM720923:SHM720927 RXQ720923:RXQ720927 RNU720923:RNU720927 RDY720923:RDY720927 QUC720923:QUC720927 QKG720923:QKG720927 QAK720923:QAK720927 PQO720923:PQO720927 PGS720923:PGS720927 OWW720923:OWW720927 ONA720923:ONA720927 ODE720923:ODE720927 NTI720923:NTI720927 NJM720923:NJM720927 MZQ720923:MZQ720927 MPU720923:MPU720927 MFY720923:MFY720927 LWC720923:LWC720927 LMG720923:LMG720927 LCK720923:LCK720927 KSO720923:KSO720927 KIS720923:KIS720927 JYW720923:JYW720927 JPA720923:JPA720927 JFE720923:JFE720927 IVI720923:IVI720927 ILM720923:ILM720927 IBQ720923:IBQ720927 HRU720923:HRU720927 HHY720923:HHY720927 GYC720923:GYC720927 GOG720923:GOG720927 GEK720923:GEK720927 FUO720923:FUO720927 FKS720923:FKS720927 FAW720923:FAW720927 ERA720923:ERA720927 EHE720923:EHE720927 DXI720923:DXI720927 DNM720923:DNM720927 DDQ720923:DDQ720927 CTU720923:CTU720927 CJY720923:CJY720927 CAC720923:CAC720927 BQG720923:BQG720927 BGK720923:BGK720927 AWO720923:AWO720927 AMS720923:AMS720927 ACW720923:ACW720927 TA720923:TA720927 JE720923:JE720927 J720923:J720927 WVQ655387:WVQ655391 WLU655387:WLU655391 WBY655387:WBY655391 VSC655387:VSC655391 VIG655387:VIG655391 UYK655387:UYK655391 UOO655387:UOO655391 UES655387:UES655391 TUW655387:TUW655391 TLA655387:TLA655391 TBE655387:TBE655391 SRI655387:SRI655391 SHM655387:SHM655391 RXQ655387:RXQ655391 RNU655387:RNU655391 RDY655387:RDY655391 QUC655387:QUC655391 QKG655387:QKG655391 QAK655387:QAK655391 PQO655387:PQO655391 PGS655387:PGS655391 OWW655387:OWW655391 ONA655387:ONA655391 ODE655387:ODE655391 NTI655387:NTI655391 NJM655387:NJM655391 MZQ655387:MZQ655391 MPU655387:MPU655391 MFY655387:MFY655391 LWC655387:LWC655391 LMG655387:LMG655391 LCK655387:LCK655391 KSO655387:KSO655391 KIS655387:KIS655391 JYW655387:JYW655391 JPA655387:JPA655391 JFE655387:JFE655391 IVI655387:IVI655391 ILM655387:ILM655391 IBQ655387:IBQ655391 HRU655387:HRU655391 HHY655387:HHY655391 GYC655387:GYC655391 GOG655387:GOG655391 GEK655387:GEK655391 FUO655387:FUO655391 FKS655387:FKS655391 FAW655387:FAW655391 ERA655387:ERA655391 EHE655387:EHE655391 DXI655387:DXI655391 DNM655387:DNM655391 DDQ655387:DDQ655391 CTU655387:CTU655391 CJY655387:CJY655391 CAC655387:CAC655391 BQG655387:BQG655391 BGK655387:BGK655391 AWO655387:AWO655391 AMS655387:AMS655391 ACW655387:ACW655391 TA655387:TA655391 JE655387:JE655391 J655387:J655391 WVQ589851:WVQ589855 WLU589851:WLU589855 WBY589851:WBY589855 VSC589851:VSC589855 VIG589851:VIG589855 UYK589851:UYK589855 UOO589851:UOO589855 UES589851:UES589855 TUW589851:TUW589855 TLA589851:TLA589855 TBE589851:TBE589855 SRI589851:SRI589855 SHM589851:SHM589855 RXQ589851:RXQ589855 RNU589851:RNU589855 RDY589851:RDY589855 QUC589851:QUC589855 QKG589851:QKG589855 QAK589851:QAK589855 PQO589851:PQO589855 PGS589851:PGS589855 OWW589851:OWW589855 ONA589851:ONA589855 ODE589851:ODE589855 NTI589851:NTI589855 NJM589851:NJM589855 MZQ589851:MZQ589855 MPU589851:MPU589855 MFY589851:MFY589855 LWC589851:LWC589855 LMG589851:LMG589855 LCK589851:LCK589855 KSO589851:KSO589855 KIS589851:KIS589855 JYW589851:JYW589855 JPA589851:JPA589855 JFE589851:JFE589855 IVI589851:IVI589855 ILM589851:ILM589855 IBQ589851:IBQ589855 HRU589851:HRU589855 HHY589851:HHY589855 GYC589851:GYC589855 GOG589851:GOG589855 GEK589851:GEK589855 FUO589851:FUO589855 FKS589851:FKS589855 FAW589851:FAW589855 ERA589851:ERA589855 EHE589851:EHE589855 DXI589851:DXI589855 DNM589851:DNM589855 DDQ589851:DDQ589855 CTU589851:CTU589855 CJY589851:CJY589855 CAC589851:CAC589855 BQG589851:BQG589855 BGK589851:BGK589855 AWO589851:AWO589855 AMS589851:AMS589855 ACW589851:ACW589855 TA589851:TA589855 JE589851:JE589855 J589851:J589855 WVQ524315:WVQ524319 WLU524315:WLU524319 WBY524315:WBY524319 VSC524315:VSC524319 VIG524315:VIG524319 UYK524315:UYK524319 UOO524315:UOO524319 UES524315:UES524319 TUW524315:TUW524319 TLA524315:TLA524319 TBE524315:TBE524319 SRI524315:SRI524319 SHM524315:SHM524319 RXQ524315:RXQ524319 RNU524315:RNU524319 RDY524315:RDY524319 QUC524315:QUC524319 QKG524315:QKG524319 QAK524315:QAK524319 PQO524315:PQO524319 PGS524315:PGS524319 OWW524315:OWW524319 ONA524315:ONA524319 ODE524315:ODE524319 NTI524315:NTI524319 NJM524315:NJM524319 MZQ524315:MZQ524319 MPU524315:MPU524319 MFY524315:MFY524319 LWC524315:LWC524319 LMG524315:LMG524319 LCK524315:LCK524319 KSO524315:KSO524319 KIS524315:KIS524319 JYW524315:JYW524319 JPA524315:JPA524319 JFE524315:JFE524319 IVI524315:IVI524319 ILM524315:ILM524319 IBQ524315:IBQ524319 HRU524315:HRU524319 HHY524315:HHY524319 GYC524315:GYC524319 GOG524315:GOG524319 GEK524315:GEK524319 FUO524315:FUO524319 FKS524315:FKS524319 FAW524315:FAW524319 ERA524315:ERA524319 EHE524315:EHE524319 DXI524315:DXI524319 DNM524315:DNM524319 DDQ524315:DDQ524319 CTU524315:CTU524319 CJY524315:CJY524319 CAC524315:CAC524319 BQG524315:BQG524319 BGK524315:BGK524319 AWO524315:AWO524319 AMS524315:AMS524319 ACW524315:ACW524319 TA524315:TA524319 JE524315:JE524319 J524315:J524319 WVQ458779:WVQ458783 WLU458779:WLU458783 WBY458779:WBY458783 VSC458779:VSC458783 VIG458779:VIG458783 UYK458779:UYK458783 UOO458779:UOO458783 UES458779:UES458783 TUW458779:TUW458783 TLA458779:TLA458783 TBE458779:TBE458783 SRI458779:SRI458783 SHM458779:SHM458783 RXQ458779:RXQ458783 RNU458779:RNU458783 RDY458779:RDY458783 QUC458779:QUC458783 QKG458779:QKG458783 QAK458779:QAK458783 PQO458779:PQO458783 PGS458779:PGS458783 OWW458779:OWW458783 ONA458779:ONA458783 ODE458779:ODE458783 NTI458779:NTI458783 NJM458779:NJM458783 MZQ458779:MZQ458783 MPU458779:MPU458783 MFY458779:MFY458783 LWC458779:LWC458783 LMG458779:LMG458783 LCK458779:LCK458783 KSO458779:KSO458783 KIS458779:KIS458783 JYW458779:JYW458783 JPA458779:JPA458783 JFE458779:JFE458783 IVI458779:IVI458783 ILM458779:ILM458783 IBQ458779:IBQ458783 HRU458779:HRU458783 HHY458779:HHY458783 GYC458779:GYC458783 GOG458779:GOG458783 GEK458779:GEK458783 FUO458779:FUO458783 FKS458779:FKS458783 FAW458779:FAW458783 ERA458779:ERA458783 EHE458779:EHE458783 DXI458779:DXI458783 DNM458779:DNM458783 DDQ458779:DDQ458783 CTU458779:CTU458783 CJY458779:CJY458783 CAC458779:CAC458783 BQG458779:BQG458783 BGK458779:BGK458783 AWO458779:AWO458783 AMS458779:AMS458783 ACW458779:ACW458783 TA458779:TA458783 JE458779:JE458783 J458779:J458783 WVQ393243:WVQ393247 WLU393243:WLU393247 WBY393243:WBY393247 VSC393243:VSC393247 VIG393243:VIG393247 UYK393243:UYK393247 UOO393243:UOO393247 UES393243:UES393247 TUW393243:TUW393247 TLA393243:TLA393247 TBE393243:TBE393247 SRI393243:SRI393247 SHM393243:SHM393247 RXQ393243:RXQ393247 RNU393243:RNU393247 RDY393243:RDY393247 QUC393243:QUC393247 QKG393243:QKG393247 QAK393243:QAK393247 PQO393243:PQO393247 PGS393243:PGS393247 OWW393243:OWW393247 ONA393243:ONA393247 ODE393243:ODE393247 NTI393243:NTI393247 NJM393243:NJM393247 MZQ393243:MZQ393247 MPU393243:MPU393247 MFY393243:MFY393247 LWC393243:LWC393247 LMG393243:LMG393247 LCK393243:LCK393247 KSO393243:KSO393247 KIS393243:KIS393247 JYW393243:JYW393247 JPA393243:JPA393247 JFE393243:JFE393247 IVI393243:IVI393247 ILM393243:ILM393247 IBQ393243:IBQ393247 HRU393243:HRU393247 HHY393243:HHY393247 GYC393243:GYC393247 GOG393243:GOG393247 GEK393243:GEK393247 FUO393243:FUO393247 FKS393243:FKS393247 FAW393243:FAW393247 ERA393243:ERA393247 EHE393243:EHE393247 DXI393243:DXI393247 DNM393243:DNM393247 DDQ393243:DDQ393247 CTU393243:CTU393247 CJY393243:CJY393247 CAC393243:CAC393247 BQG393243:BQG393247 BGK393243:BGK393247 AWO393243:AWO393247 AMS393243:AMS393247 ACW393243:ACW393247 TA393243:TA393247 JE393243:JE393247 J393243:J393247 WVQ327707:WVQ327711 WLU327707:WLU327711 WBY327707:WBY327711 VSC327707:VSC327711 VIG327707:VIG327711 UYK327707:UYK327711 UOO327707:UOO327711 UES327707:UES327711 TUW327707:TUW327711 TLA327707:TLA327711 TBE327707:TBE327711 SRI327707:SRI327711 SHM327707:SHM327711 RXQ327707:RXQ327711 RNU327707:RNU327711 RDY327707:RDY327711 QUC327707:QUC327711 QKG327707:QKG327711 QAK327707:QAK327711 PQO327707:PQO327711 PGS327707:PGS327711 OWW327707:OWW327711 ONA327707:ONA327711 ODE327707:ODE327711 NTI327707:NTI327711 NJM327707:NJM327711 MZQ327707:MZQ327711 MPU327707:MPU327711 MFY327707:MFY327711 LWC327707:LWC327711 LMG327707:LMG327711 LCK327707:LCK327711 KSO327707:KSO327711 KIS327707:KIS327711 JYW327707:JYW327711 JPA327707:JPA327711 JFE327707:JFE327711 IVI327707:IVI327711 ILM327707:ILM327711 IBQ327707:IBQ327711 HRU327707:HRU327711 HHY327707:HHY327711 GYC327707:GYC327711 GOG327707:GOG327711 GEK327707:GEK327711 FUO327707:FUO327711 FKS327707:FKS327711 FAW327707:FAW327711 ERA327707:ERA327711 EHE327707:EHE327711 DXI327707:DXI327711 DNM327707:DNM327711 DDQ327707:DDQ327711 CTU327707:CTU327711 CJY327707:CJY327711 CAC327707:CAC327711 BQG327707:BQG327711 BGK327707:BGK327711 AWO327707:AWO327711 AMS327707:AMS327711 ACW327707:ACW327711 TA327707:TA327711 JE327707:JE327711 J327707:J327711 WVQ262171:WVQ262175 WLU262171:WLU262175 WBY262171:WBY262175 VSC262171:VSC262175 VIG262171:VIG262175 UYK262171:UYK262175 UOO262171:UOO262175 UES262171:UES262175 TUW262171:TUW262175 TLA262171:TLA262175 TBE262171:TBE262175 SRI262171:SRI262175 SHM262171:SHM262175 RXQ262171:RXQ262175 RNU262171:RNU262175 RDY262171:RDY262175 QUC262171:QUC262175 QKG262171:QKG262175 QAK262171:QAK262175 PQO262171:PQO262175 PGS262171:PGS262175 OWW262171:OWW262175 ONA262171:ONA262175 ODE262171:ODE262175 NTI262171:NTI262175 NJM262171:NJM262175 MZQ262171:MZQ262175 MPU262171:MPU262175 MFY262171:MFY262175 LWC262171:LWC262175 LMG262171:LMG262175 LCK262171:LCK262175 KSO262171:KSO262175 KIS262171:KIS262175 JYW262171:JYW262175 JPA262171:JPA262175 JFE262171:JFE262175 IVI262171:IVI262175 ILM262171:ILM262175 IBQ262171:IBQ262175 HRU262171:HRU262175 HHY262171:HHY262175 GYC262171:GYC262175 GOG262171:GOG262175 GEK262171:GEK262175 FUO262171:FUO262175 FKS262171:FKS262175 FAW262171:FAW262175 ERA262171:ERA262175 EHE262171:EHE262175 DXI262171:DXI262175 DNM262171:DNM262175 DDQ262171:DDQ262175 CTU262171:CTU262175 CJY262171:CJY262175 CAC262171:CAC262175 BQG262171:BQG262175 BGK262171:BGK262175 AWO262171:AWO262175 AMS262171:AMS262175 ACW262171:ACW262175 TA262171:TA262175 JE262171:JE262175 J262171:J262175 WVQ196635:WVQ196639 WLU196635:WLU196639 WBY196635:WBY196639 VSC196635:VSC196639 VIG196635:VIG196639 UYK196635:UYK196639 UOO196635:UOO196639 UES196635:UES196639 TUW196635:TUW196639 TLA196635:TLA196639 TBE196635:TBE196639 SRI196635:SRI196639 SHM196635:SHM196639 RXQ196635:RXQ196639 RNU196635:RNU196639 RDY196635:RDY196639 QUC196635:QUC196639 QKG196635:QKG196639 QAK196635:QAK196639 PQO196635:PQO196639 PGS196635:PGS196639 OWW196635:OWW196639 ONA196635:ONA196639 ODE196635:ODE196639 NTI196635:NTI196639 NJM196635:NJM196639 MZQ196635:MZQ196639 MPU196635:MPU196639 MFY196635:MFY196639 LWC196635:LWC196639 LMG196635:LMG196639 LCK196635:LCK196639 KSO196635:KSO196639 KIS196635:KIS196639 JYW196635:JYW196639 JPA196635:JPA196639 JFE196635:JFE196639 IVI196635:IVI196639 ILM196635:ILM196639 IBQ196635:IBQ196639 HRU196635:HRU196639 HHY196635:HHY196639 GYC196635:GYC196639 GOG196635:GOG196639 GEK196635:GEK196639 FUO196635:FUO196639 FKS196635:FKS196639 FAW196635:FAW196639 ERA196635:ERA196639 EHE196635:EHE196639 DXI196635:DXI196639 DNM196635:DNM196639 DDQ196635:DDQ196639 CTU196635:CTU196639 CJY196635:CJY196639 CAC196635:CAC196639 BQG196635:BQG196639 BGK196635:BGK196639 AWO196635:AWO196639 AMS196635:AMS196639 ACW196635:ACW196639 TA196635:TA196639 JE196635:JE196639 J196635:J196639 WVQ131099:WVQ131103 WLU131099:WLU131103 WBY131099:WBY131103 VSC131099:VSC131103 VIG131099:VIG131103 UYK131099:UYK131103 UOO131099:UOO131103 UES131099:UES131103 TUW131099:TUW131103 TLA131099:TLA131103 TBE131099:TBE131103 SRI131099:SRI131103 SHM131099:SHM131103 RXQ131099:RXQ131103 RNU131099:RNU131103 RDY131099:RDY131103 QUC131099:QUC131103 QKG131099:QKG131103 QAK131099:QAK131103 PQO131099:PQO131103 PGS131099:PGS131103 OWW131099:OWW131103 ONA131099:ONA131103 ODE131099:ODE131103 NTI131099:NTI131103 NJM131099:NJM131103 MZQ131099:MZQ131103 MPU131099:MPU131103 MFY131099:MFY131103 LWC131099:LWC131103 LMG131099:LMG131103 LCK131099:LCK131103 KSO131099:KSO131103 KIS131099:KIS131103 JYW131099:JYW131103 JPA131099:JPA131103 JFE131099:JFE131103 IVI131099:IVI131103 ILM131099:ILM131103 IBQ131099:IBQ131103 HRU131099:HRU131103 HHY131099:HHY131103 GYC131099:GYC131103 GOG131099:GOG131103 GEK131099:GEK131103 FUO131099:FUO131103 FKS131099:FKS131103 FAW131099:FAW131103 ERA131099:ERA131103 EHE131099:EHE131103 DXI131099:DXI131103 DNM131099:DNM131103 DDQ131099:DDQ131103 CTU131099:CTU131103 CJY131099:CJY131103 CAC131099:CAC131103 BQG131099:BQG131103 BGK131099:BGK131103 AWO131099:AWO131103 AMS131099:AMS131103 ACW131099:ACW131103 TA131099:TA131103 JE131099:JE131103 J131099:J131103 WVQ65563:WVQ65567 WLU65563:WLU65567 WBY65563:WBY65567 VSC65563:VSC65567 VIG65563:VIG65567 UYK65563:UYK65567 UOO65563:UOO65567 UES65563:UES65567 TUW65563:TUW65567 TLA65563:TLA65567 TBE65563:TBE65567 SRI65563:SRI65567 SHM65563:SHM65567 RXQ65563:RXQ65567 RNU65563:RNU65567 RDY65563:RDY65567 QUC65563:QUC65567 QKG65563:QKG65567 QAK65563:QAK65567 PQO65563:PQO65567 PGS65563:PGS65567 OWW65563:OWW65567 ONA65563:ONA65567 ODE65563:ODE65567 NTI65563:NTI65567 NJM65563:NJM65567 MZQ65563:MZQ65567 MPU65563:MPU65567 MFY65563:MFY65567 LWC65563:LWC65567 LMG65563:LMG65567 LCK65563:LCK65567 KSO65563:KSO65567 KIS65563:KIS65567 JYW65563:JYW65567 JPA65563:JPA65567 JFE65563:JFE65567 IVI65563:IVI65567 ILM65563:ILM65567 IBQ65563:IBQ65567 HRU65563:HRU65567 HHY65563:HHY65567 GYC65563:GYC65567 GOG65563:GOG65567 GEK65563:GEK65567 FUO65563:FUO65567 FKS65563:FKS65567 FAW65563:FAW65567 ERA65563:ERA65567 EHE65563:EHE65567 DXI65563:DXI65567 DNM65563:DNM65567 DDQ65563:DDQ65567 CTU65563:CTU65567 CJY65563:CJY65567 CAC65563:CAC65567 BQG65563:BQG65567 BGK65563:BGK65567 AWO65563:AWO65567 AMS65563:AMS65567 ACW65563:ACW65567 TA65563:TA65567 JE65563:JE65567 J65563:J65567" xr:uid="{00000000-0002-0000-0500-000002000000}">
      <formula1>$B$41:$B$42</formula1>
    </dataValidation>
    <dataValidation type="list" allowBlank="1" showInputMessage="1" showErrorMessage="1" prompt="Indica si el contrato es indefinido o temporal" sqref="JD25:JD31 WVP983060:WVP983066 WLT983060:WLT983066 WBX983060:WBX983066 VSB983060:VSB983066 VIF983060:VIF983066 UYJ983060:UYJ983066 UON983060:UON983066 UER983060:UER983066 TUV983060:TUV983066 TKZ983060:TKZ983066 TBD983060:TBD983066 SRH983060:SRH983066 SHL983060:SHL983066 RXP983060:RXP983066 RNT983060:RNT983066 RDX983060:RDX983066 QUB983060:QUB983066 QKF983060:QKF983066 QAJ983060:QAJ983066 PQN983060:PQN983066 PGR983060:PGR983066 OWV983060:OWV983066 OMZ983060:OMZ983066 ODD983060:ODD983066 NTH983060:NTH983066 NJL983060:NJL983066 MZP983060:MZP983066 MPT983060:MPT983066 MFX983060:MFX983066 LWB983060:LWB983066 LMF983060:LMF983066 LCJ983060:LCJ983066 KSN983060:KSN983066 KIR983060:KIR983066 JYV983060:JYV983066 JOZ983060:JOZ983066 JFD983060:JFD983066 IVH983060:IVH983066 ILL983060:ILL983066 IBP983060:IBP983066 HRT983060:HRT983066 HHX983060:HHX983066 GYB983060:GYB983066 GOF983060:GOF983066 GEJ983060:GEJ983066 FUN983060:FUN983066 FKR983060:FKR983066 FAV983060:FAV983066 EQZ983060:EQZ983066 EHD983060:EHD983066 DXH983060:DXH983066 DNL983060:DNL983066 DDP983060:DDP983066 CTT983060:CTT983066 CJX983060:CJX983066 CAB983060:CAB983066 BQF983060:BQF983066 BGJ983060:BGJ983066 AWN983060:AWN983066 AMR983060:AMR983066 ACV983060:ACV983066 SZ983060:SZ983066 JD983060:JD983066 I983060:I983066 WVP917524:WVP917530 WLT917524:WLT917530 WBX917524:WBX917530 VSB917524:VSB917530 VIF917524:VIF917530 UYJ917524:UYJ917530 UON917524:UON917530 UER917524:UER917530 TUV917524:TUV917530 TKZ917524:TKZ917530 TBD917524:TBD917530 SRH917524:SRH917530 SHL917524:SHL917530 RXP917524:RXP917530 RNT917524:RNT917530 RDX917524:RDX917530 QUB917524:QUB917530 QKF917524:QKF917530 QAJ917524:QAJ917530 PQN917524:PQN917530 PGR917524:PGR917530 OWV917524:OWV917530 OMZ917524:OMZ917530 ODD917524:ODD917530 NTH917524:NTH917530 NJL917524:NJL917530 MZP917524:MZP917530 MPT917524:MPT917530 MFX917524:MFX917530 LWB917524:LWB917530 LMF917524:LMF917530 LCJ917524:LCJ917530 KSN917524:KSN917530 KIR917524:KIR917530 JYV917524:JYV917530 JOZ917524:JOZ917530 JFD917524:JFD917530 IVH917524:IVH917530 ILL917524:ILL917530 IBP917524:IBP917530 HRT917524:HRT917530 HHX917524:HHX917530 GYB917524:GYB917530 GOF917524:GOF917530 GEJ917524:GEJ917530 FUN917524:FUN917530 FKR917524:FKR917530 FAV917524:FAV917530 EQZ917524:EQZ917530 EHD917524:EHD917530 DXH917524:DXH917530 DNL917524:DNL917530 DDP917524:DDP917530 CTT917524:CTT917530 CJX917524:CJX917530 CAB917524:CAB917530 BQF917524:BQF917530 BGJ917524:BGJ917530 AWN917524:AWN917530 AMR917524:AMR917530 ACV917524:ACV917530 SZ917524:SZ917530 JD917524:JD917530 I917524:I917530 WVP851988:WVP851994 WLT851988:WLT851994 WBX851988:WBX851994 VSB851988:VSB851994 VIF851988:VIF851994 UYJ851988:UYJ851994 UON851988:UON851994 UER851988:UER851994 TUV851988:TUV851994 TKZ851988:TKZ851994 TBD851988:TBD851994 SRH851988:SRH851994 SHL851988:SHL851994 RXP851988:RXP851994 RNT851988:RNT851994 RDX851988:RDX851994 QUB851988:QUB851994 QKF851988:QKF851994 QAJ851988:QAJ851994 PQN851988:PQN851994 PGR851988:PGR851994 OWV851988:OWV851994 OMZ851988:OMZ851994 ODD851988:ODD851994 NTH851988:NTH851994 NJL851988:NJL851994 MZP851988:MZP851994 MPT851988:MPT851994 MFX851988:MFX851994 LWB851988:LWB851994 LMF851988:LMF851994 LCJ851988:LCJ851994 KSN851988:KSN851994 KIR851988:KIR851994 JYV851988:JYV851994 JOZ851988:JOZ851994 JFD851988:JFD851994 IVH851988:IVH851994 ILL851988:ILL851994 IBP851988:IBP851994 HRT851988:HRT851994 HHX851988:HHX851994 GYB851988:GYB851994 GOF851988:GOF851994 GEJ851988:GEJ851994 FUN851988:FUN851994 FKR851988:FKR851994 FAV851988:FAV851994 EQZ851988:EQZ851994 EHD851988:EHD851994 DXH851988:DXH851994 DNL851988:DNL851994 DDP851988:DDP851994 CTT851988:CTT851994 CJX851988:CJX851994 CAB851988:CAB851994 BQF851988:BQF851994 BGJ851988:BGJ851994 AWN851988:AWN851994 AMR851988:AMR851994 ACV851988:ACV851994 SZ851988:SZ851994 JD851988:JD851994 I851988:I851994 WVP786452:WVP786458 WLT786452:WLT786458 WBX786452:WBX786458 VSB786452:VSB786458 VIF786452:VIF786458 UYJ786452:UYJ786458 UON786452:UON786458 UER786452:UER786458 TUV786452:TUV786458 TKZ786452:TKZ786458 TBD786452:TBD786458 SRH786452:SRH786458 SHL786452:SHL786458 RXP786452:RXP786458 RNT786452:RNT786458 RDX786452:RDX786458 QUB786452:QUB786458 QKF786452:QKF786458 QAJ786452:QAJ786458 PQN786452:PQN786458 PGR786452:PGR786458 OWV786452:OWV786458 OMZ786452:OMZ786458 ODD786452:ODD786458 NTH786452:NTH786458 NJL786452:NJL786458 MZP786452:MZP786458 MPT786452:MPT786458 MFX786452:MFX786458 LWB786452:LWB786458 LMF786452:LMF786458 LCJ786452:LCJ786458 KSN786452:KSN786458 KIR786452:KIR786458 JYV786452:JYV786458 JOZ786452:JOZ786458 JFD786452:JFD786458 IVH786452:IVH786458 ILL786452:ILL786458 IBP786452:IBP786458 HRT786452:HRT786458 HHX786452:HHX786458 GYB786452:GYB786458 GOF786452:GOF786458 GEJ786452:GEJ786458 FUN786452:FUN786458 FKR786452:FKR786458 FAV786452:FAV786458 EQZ786452:EQZ786458 EHD786452:EHD786458 DXH786452:DXH786458 DNL786452:DNL786458 DDP786452:DDP786458 CTT786452:CTT786458 CJX786452:CJX786458 CAB786452:CAB786458 BQF786452:BQF786458 BGJ786452:BGJ786458 AWN786452:AWN786458 AMR786452:AMR786458 ACV786452:ACV786458 SZ786452:SZ786458 JD786452:JD786458 I786452:I786458 WVP720916:WVP720922 WLT720916:WLT720922 WBX720916:WBX720922 VSB720916:VSB720922 VIF720916:VIF720922 UYJ720916:UYJ720922 UON720916:UON720922 UER720916:UER720922 TUV720916:TUV720922 TKZ720916:TKZ720922 TBD720916:TBD720922 SRH720916:SRH720922 SHL720916:SHL720922 RXP720916:RXP720922 RNT720916:RNT720922 RDX720916:RDX720922 QUB720916:QUB720922 QKF720916:QKF720922 QAJ720916:QAJ720922 PQN720916:PQN720922 PGR720916:PGR720922 OWV720916:OWV720922 OMZ720916:OMZ720922 ODD720916:ODD720922 NTH720916:NTH720922 NJL720916:NJL720922 MZP720916:MZP720922 MPT720916:MPT720922 MFX720916:MFX720922 LWB720916:LWB720922 LMF720916:LMF720922 LCJ720916:LCJ720922 KSN720916:KSN720922 KIR720916:KIR720922 JYV720916:JYV720922 JOZ720916:JOZ720922 JFD720916:JFD720922 IVH720916:IVH720922 ILL720916:ILL720922 IBP720916:IBP720922 HRT720916:HRT720922 HHX720916:HHX720922 GYB720916:GYB720922 GOF720916:GOF720922 GEJ720916:GEJ720922 FUN720916:FUN720922 FKR720916:FKR720922 FAV720916:FAV720922 EQZ720916:EQZ720922 EHD720916:EHD720922 DXH720916:DXH720922 DNL720916:DNL720922 DDP720916:DDP720922 CTT720916:CTT720922 CJX720916:CJX720922 CAB720916:CAB720922 BQF720916:BQF720922 BGJ720916:BGJ720922 AWN720916:AWN720922 AMR720916:AMR720922 ACV720916:ACV720922 SZ720916:SZ720922 JD720916:JD720922 I720916:I720922 WVP655380:WVP655386 WLT655380:WLT655386 WBX655380:WBX655386 VSB655380:VSB655386 VIF655380:VIF655386 UYJ655380:UYJ655386 UON655380:UON655386 UER655380:UER655386 TUV655380:TUV655386 TKZ655380:TKZ655386 TBD655380:TBD655386 SRH655380:SRH655386 SHL655380:SHL655386 RXP655380:RXP655386 RNT655380:RNT655386 RDX655380:RDX655386 QUB655380:QUB655386 QKF655380:QKF655386 QAJ655380:QAJ655386 PQN655380:PQN655386 PGR655380:PGR655386 OWV655380:OWV655386 OMZ655380:OMZ655386 ODD655380:ODD655386 NTH655380:NTH655386 NJL655380:NJL655386 MZP655380:MZP655386 MPT655380:MPT655386 MFX655380:MFX655386 LWB655380:LWB655386 LMF655380:LMF655386 LCJ655380:LCJ655386 KSN655380:KSN655386 KIR655380:KIR655386 JYV655380:JYV655386 JOZ655380:JOZ655386 JFD655380:JFD655386 IVH655380:IVH655386 ILL655380:ILL655386 IBP655380:IBP655386 HRT655380:HRT655386 HHX655380:HHX655386 GYB655380:GYB655386 GOF655380:GOF655386 GEJ655380:GEJ655386 FUN655380:FUN655386 FKR655380:FKR655386 FAV655380:FAV655386 EQZ655380:EQZ655386 EHD655380:EHD655386 DXH655380:DXH655386 DNL655380:DNL655386 DDP655380:DDP655386 CTT655380:CTT655386 CJX655380:CJX655386 CAB655380:CAB655386 BQF655380:BQF655386 BGJ655380:BGJ655386 AWN655380:AWN655386 AMR655380:AMR655386 ACV655380:ACV655386 SZ655380:SZ655386 JD655380:JD655386 I655380:I655386 WVP589844:WVP589850 WLT589844:WLT589850 WBX589844:WBX589850 VSB589844:VSB589850 VIF589844:VIF589850 UYJ589844:UYJ589850 UON589844:UON589850 UER589844:UER589850 TUV589844:TUV589850 TKZ589844:TKZ589850 TBD589844:TBD589850 SRH589844:SRH589850 SHL589844:SHL589850 RXP589844:RXP589850 RNT589844:RNT589850 RDX589844:RDX589850 QUB589844:QUB589850 QKF589844:QKF589850 QAJ589844:QAJ589850 PQN589844:PQN589850 PGR589844:PGR589850 OWV589844:OWV589850 OMZ589844:OMZ589850 ODD589844:ODD589850 NTH589844:NTH589850 NJL589844:NJL589850 MZP589844:MZP589850 MPT589844:MPT589850 MFX589844:MFX589850 LWB589844:LWB589850 LMF589844:LMF589850 LCJ589844:LCJ589850 KSN589844:KSN589850 KIR589844:KIR589850 JYV589844:JYV589850 JOZ589844:JOZ589850 JFD589844:JFD589850 IVH589844:IVH589850 ILL589844:ILL589850 IBP589844:IBP589850 HRT589844:HRT589850 HHX589844:HHX589850 GYB589844:GYB589850 GOF589844:GOF589850 GEJ589844:GEJ589850 FUN589844:FUN589850 FKR589844:FKR589850 FAV589844:FAV589850 EQZ589844:EQZ589850 EHD589844:EHD589850 DXH589844:DXH589850 DNL589844:DNL589850 DDP589844:DDP589850 CTT589844:CTT589850 CJX589844:CJX589850 CAB589844:CAB589850 BQF589844:BQF589850 BGJ589844:BGJ589850 AWN589844:AWN589850 AMR589844:AMR589850 ACV589844:ACV589850 SZ589844:SZ589850 JD589844:JD589850 I589844:I589850 WVP524308:WVP524314 WLT524308:WLT524314 WBX524308:WBX524314 VSB524308:VSB524314 VIF524308:VIF524314 UYJ524308:UYJ524314 UON524308:UON524314 UER524308:UER524314 TUV524308:TUV524314 TKZ524308:TKZ524314 TBD524308:TBD524314 SRH524308:SRH524314 SHL524308:SHL524314 RXP524308:RXP524314 RNT524308:RNT524314 RDX524308:RDX524314 QUB524308:QUB524314 QKF524308:QKF524314 QAJ524308:QAJ524314 PQN524308:PQN524314 PGR524308:PGR524314 OWV524308:OWV524314 OMZ524308:OMZ524314 ODD524308:ODD524314 NTH524308:NTH524314 NJL524308:NJL524314 MZP524308:MZP524314 MPT524308:MPT524314 MFX524308:MFX524314 LWB524308:LWB524314 LMF524308:LMF524314 LCJ524308:LCJ524314 KSN524308:KSN524314 KIR524308:KIR524314 JYV524308:JYV524314 JOZ524308:JOZ524314 JFD524308:JFD524314 IVH524308:IVH524314 ILL524308:ILL524314 IBP524308:IBP524314 HRT524308:HRT524314 HHX524308:HHX524314 GYB524308:GYB524314 GOF524308:GOF524314 GEJ524308:GEJ524314 FUN524308:FUN524314 FKR524308:FKR524314 FAV524308:FAV524314 EQZ524308:EQZ524314 EHD524308:EHD524314 DXH524308:DXH524314 DNL524308:DNL524314 DDP524308:DDP524314 CTT524308:CTT524314 CJX524308:CJX524314 CAB524308:CAB524314 BQF524308:BQF524314 BGJ524308:BGJ524314 AWN524308:AWN524314 AMR524308:AMR524314 ACV524308:ACV524314 SZ524308:SZ524314 JD524308:JD524314 I524308:I524314 WVP458772:WVP458778 WLT458772:WLT458778 WBX458772:WBX458778 VSB458772:VSB458778 VIF458772:VIF458778 UYJ458772:UYJ458778 UON458772:UON458778 UER458772:UER458778 TUV458772:TUV458778 TKZ458772:TKZ458778 TBD458772:TBD458778 SRH458772:SRH458778 SHL458772:SHL458778 RXP458772:RXP458778 RNT458772:RNT458778 RDX458772:RDX458778 QUB458772:QUB458778 QKF458772:QKF458778 QAJ458772:QAJ458778 PQN458772:PQN458778 PGR458772:PGR458778 OWV458772:OWV458778 OMZ458772:OMZ458778 ODD458772:ODD458778 NTH458772:NTH458778 NJL458772:NJL458778 MZP458772:MZP458778 MPT458772:MPT458778 MFX458772:MFX458778 LWB458772:LWB458778 LMF458772:LMF458778 LCJ458772:LCJ458778 KSN458772:KSN458778 KIR458772:KIR458778 JYV458772:JYV458778 JOZ458772:JOZ458778 JFD458772:JFD458778 IVH458772:IVH458778 ILL458772:ILL458778 IBP458772:IBP458778 HRT458772:HRT458778 HHX458772:HHX458778 GYB458772:GYB458778 GOF458772:GOF458778 GEJ458772:GEJ458778 FUN458772:FUN458778 FKR458772:FKR458778 FAV458772:FAV458778 EQZ458772:EQZ458778 EHD458772:EHD458778 DXH458772:DXH458778 DNL458772:DNL458778 DDP458772:DDP458778 CTT458772:CTT458778 CJX458772:CJX458778 CAB458772:CAB458778 BQF458772:BQF458778 BGJ458772:BGJ458778 AWN458772:AWN458778 AMR458772:AMR458778 ACV458772:ACV458778 SZ458772:SZ458778 JD458772:JD458778 I458772:I458778 WVP393236:WVP393242 WLT393236:WLT393242 WBX393236:WBX393242 VSB393236:VSB393242 VIF393236:VIF393242 UYJ393236:UYJ393242 UON393236:UON393242 UER393236:UER393242 TUV393236:TUV393242 TKZ393236:TKZ393242 TBD393236:TBD393242 SRH393236:SRH393242 SHL393236:SHL393242 RXP393236:RXP393242 RNT393236:RNT393242 RDX393236:RDX393242 QUB393236:QUB393242 QKF393236:QKF393242 QAJ393236:QAJ393242 PQN393236:PQN393242 PGR393236:PGR393242 OWV393236:OWV393242 OMZ393236:OMZ393242 ODD393236:ODD393242 NTH393236:NTH393242 NJL393236:NJL393242 MZP393236:MZP393242 MPT393236:MPT393242 MFX393236:MFX393242 LWB393236:LWB393242 LMF393236:LMF393242 LCJ393236:LCJ393242 KSN393236:KSN393242 KIR393236:KIR393242 JYV393236:JYV393242 JOZ393236:JOZ393242 JFD393236:JFD393242 IVH393236:IVH393242 ILL393236:ILL393242 IBP393236:IBP393242 HRT393236:HRT393242 HHX393236:HHX393242 GYB393236:GYB393242 GOF393236:GOF393242 GEJ393236:GEJ393242 FUN393236:FUN393242 FKR393236:FKR393242 FAV393236:FAV393242 EQZ393236:EQZ393242 EHD393236:EHD393242 DXH393236:DXH393242 DNL393236:DNL393242 DDP393236:DDP393242 CTT393236:CTT393242 CJX393236:CJX393242 CAB393236:CAB393242 BQF393236:BQF393242 BGJ393236:BGJ393242 AWN393236:AWN393242 AMR393236:AMR393242 ACV393236:ACV393242 SZ393236:SZ393242 JD393236:JD393242 I393236:I393242 WVP327700:WVP327706 WLT327700:WLT327706 WBX327700:WBX327706 VSB327700:VSB327706 VIF327700:VIF327706 UYJ327700:UYJ327706 UON327700:UON327706 UER327700:UER327706 TUV327700:TUV327706 TKZ327700:TKZ327706 TBD327700:TBD327706 SRH327700:SRH327706 SHL327700:SHL327706 RXP327700:RXP327706 RNT327700:RNT327706 RDX327700:RDX327706 QUB327700:QUB327706 QKF327700:QKF327706 QAJ327700:QAJ327706 PQN327700:PQN327706 PGR327700:PGR327706 OWV327700:OWV327706 OMZ327700:OMZ327706 ODD327700:ODD327706 NTH327700:NTH327706 NJL327700:NJL327706 MZP327700:MZP327706 MPT327700:MPT327706 MFX327700:MFX327706 LWB327700:LWB327706 LMF327700:LMF327706 LCJ327700:LCJ327706 KSN327700:KSN327706 KIR327700:KIR327706 JYV327700:JYV327706 JOZ327700:JOZ327706 JFD327700:JFD327706 IVH327700:IVH327706 ILL327700:ILL327706 IBP327700:IBP327706 HRT327700:HRT327706 HHX327700:HHX327706 GYB327700:GYB327706 GOF327700:GOF327706 GEJ327700:GEJ327706 FUN327700:FUN327706 FKR327700:FKR327706 FAV327700:FAV327706 EQZ327700:EQZ327706 EHD327700:EHD327706 DXH327700:DXH327706 DNL327700:DNL327706 DDP327700:DDP327706 CTT327700:CTT327706 CJX327700:CJX327706 CAB327700:CAB327706 BQF327700:BQF327706 BGJ327700:BGJ327706 AWN327700:AWN327706 AMR327700:AMR327706 ACV327700:ACV327706 SZ327700:SZ327706 JD327700:JD327706 I327700:I327706 WVP262164:WVP262170 WLT262164:WLT262170 WBX262164:WBX262170 VSB262164:VSB262170 VIF262164:VIF262170 UYJ262164:UYJ262170 UON262164:UON262170 UER262164:UER262170 TUV262164:TUV262170 TKZ262164:TKZ262170 TBD262164:TBD262170 SRH262164:SRH262170 SHL262164:SHL262170 RXP262164:RXP262170 RNT262164:RNT262170 RDX262164:RDX262170 QUB262164:QUB262170 QKF262164:QKF262170 QAJ262164:QAJ262170 PQN262164:PQN262170 PGR262164:PGR262170 OWV262164:OWV262170 OMZ262164:OMZ262170 ODD262164:ODD262170 NTH262164:NTH262170 NJL262164:NJL262170 MZP262164:MZP262170 MPT262164:MPT262170 MFX262164:MFX262170 LWB262164:LWB262170 LMF262164:LMF262170 LCJ262164:LCJ262170 KSN262164:KSN262170 KIR262164:KIR262170 JYV262164:JYV262170 JOZ262164:JOZ262170 JFD262164:JFD262170 IVH262164:IVH262170 ILL262164:ILL262170 IBP262164:IBP262170 HRT262164:HRT262170 HHX262164:HHX262170 GYB262164:GYB262170 GOF262164:GOF262170 GEJ262164:GEJ262170 FUN262164:FUN262170 FKR262164:FKR262170 FAV262164:FAV262170 EQZ262164:EQZ262170 EHD262164:EHD262170 DXH262164:DXH262170 DNL262164:DNL262170 DDP262164:DDP262170 CTT262164:CTT262170 CJX262164:CJX262170 CAB262164:CAB262170 BQF262164:BQF262170 BGJ262164:BGJ262170 AWN262164:AWN262170 AMR262164:AMR262170 ACV262164:ACV262170 SZ262164:SZ262170 JD262164:JD262170 I262164:I262170 WVP196628:WVP196634 WLT196628:WLT196634 WBX196628:WBX196634 VSB196628:VSB196634 VIF196628:VIF196634 UYJ196628:UYJ196634 UON196628:UON196634 UER196628:UER196634 TUV196628:TUV196634 TKZ196628:TKZ196634 TBD196628:TBD196634 SRH196628:SRH196634 SHL196628:SHL196634 RXP196628:RXP196634 RNT196628:RNT196634 RDX196628:RDX196634 QUB196628:QUB196634 QKF196628:QKF196634 QAJ196628:QAJ196634 PQN196628:PQN196634 PGR196628:PGR196634 OWV196628:OWV196634 OMZ196628:OMZ196634 ODD196628:ODD196634 NTH196628:NTH196634 NJL196628:NJL196634 MZP196628:MZP196634 MPT196628:MPT196634 MFX196628:MFX196634 LWB196628:LWB196634 LMF196628:LMF196634 LCJ196628:LCJ196634 KSN196628:KSN196634 KIR196628:KIR196634 JYV196628:JYV196634 JOZ196628:JOZ196634 JFD196628:JFD196634 IVH196628:IVH196634 ILL196628:ILL196634 IBP196628:IBP196634 HRT196628:HRT196634 HHX196628:HHX196634 GYB196628:GYB196634 GOF196628:GOF196634 GEJ196628:GEJ196634 FUN196628:FUN196634 FKR196628:FKR196634 FAV196628:FAV196634 EQZ196628:EQZ196634 EHD196628:EHD196634 DXH196628:DXH196634 DNL196628:DNL196634 DDP196628:DDP196634 CTT196628:CTT196634 CJX196628:CJX196634 CAB196628:CAB196634 BQF196628:BQF196634 BGJ196628:BGJ196634 AWN196628:AWN196634 AMR196628:AMR196634 ACV196628:ACV196634 SZ196628:SZ196634 JD196628:JD196634 I196628:I196634 WVP131092:WVP131098 WLT131092:WLT131098 WBX131092:WBX131098 VSB131092:VSB131098 VIF131092:VIF131098 UYJ131092:UYJ131098 UON131092:UON131098 UER131092:UER131098 TUV131092:TUV131098 TKZ131092:TKZ131098 TBD131092:TBD131098 SRH131092:SRH131098 SHL131092:SHL131098 RXP131092:RXP131098 RNT131092:RNT131098 RDX131092:RDX131098 QUB131092:QUB131098 QKF131092:QKF131098 QAJ131092:QAJ131098 PQN131092:PQN131098 PGR131092:PGR131098 OWV131092:OWV131098 OMZ131092:OMZ131098 ODD131092:ODD131098 NTH131092:NTH131098 NJL131092:NJL131098 MZP131092:MZP131098 MPT131092:MPT131098 MFX131092:MFX131098 LWB131092:LWB131098 LMF131092:LMF131098 LCJ131092:LCJ131098 KSN131092:KSN131098 KIR131092:KIR131098 JYV131092:JYV131098 JOZ131092:JOZ131098 JFD131092:JFD131098 IVH131092:IVH131098 ILL131092:ILL131098 IBP131092:IBP131098 HRT131092:HRT131098 HHX131092:HHX131098 GYB131092:GYB131098 GOF131092:GOF131098 GEJ131092:GEJ131098 FUN131092:FUN131098 FKR131092:FKR131098 FAV131092:FAV131098 EQZ131092:EQZ131098 EHD131092:EHD131098 DXH131092:DXH131098 DNL131092:DNL131098 DDP131092:DDP131098 CTT131092:CTT131098 CJX131092:CJX131098 CAB131092:CAB131098 BQF131092:BQF131098 BGJ131092:BGJ131098 AWN131092:AWN131098 AMR131092:AMR131098 ACV131092:ACV131098 SZ131092:SZ131098 JD131092:JD131098 I131092:I131098 WVP65556:WVP65562 WLT65556:WLT65562 WBX65556:WBX65562 VSB65556:VSB65562 VIF65556:VIF65562 UYJ65556:UYJ65562 UON65556:UON65562 UER65556:UER65562 TUV65556:TUV65562 TKZ65556:TKZ65562 TBD65556:TBD65562 SRH65556:SRH65562 SHL65556:SHL65562 RXP65556:RXP65562 RNT65556:RNT65562 RDX65556:RDX65562 QUB65556:QUB65562 QKF65556:QKF65562 QAJ65556:QAJ65562 PQN65556:PQN65562 PGR65556:PGR65562 OWV65556:OWV65562 OMZ65556:OMZ65562 ODD65556:ODD65562 NTH65556:NTH65562 NJL65556:NJL65562 MZP65556:MZP65562 MPT65556:MPT65562 MFX65556:MFX65562 LWB65556:LWB65562 LMF65556:LMF65562 LCJ65556:LCJ65562 KSN65556:KSN65562 KIR65556:KIR65562 JYV65556:JYV65562 JOZ65556:JOZ65562 JFD65556:JFD65562 IVH65556:IVH65562 ILL65556:ILL65562 IBP65556:IBP65562 HRT65556:HRT65562 HHX65556:HHX65562 GYB65556:GYB65562 GOF65556:GOF65562 GEJ65556:GEJ65562 FUN65556:FUN65562 FKR65556:FKR65562 FAV65556:FAV65562 EQZ65556:EQZ65562 EHD65556:EHD65562 DXH65556:DXH65562 DNL65556:DNL65562 DDP65556:DDP65562 CTT65556:CTT65562 CJX65556:CJX65562 CAB65556:CAB65562 BQF65556:BQF65562 BGJ65556:BGJ65562 AWN65556:AWN65562 AMR65556:AMR65562 ACV65556:ACV65562 SZ65556:SZ65562 JD65556:JD65562 I65556:I65562 WVP25:WVP31 WLT25:WLT31 WBX25:WBX31 VSB25:VSB31 VIF25:VIF31 UYJ25:UYJ31 UON25:UON31 UER25:UER31 TUV25:TUV31 TKZ25:TKZ31 TBD25:TBD31 SRH25:SRH31 SHL25:SHL31 RXP25:RXP31 RNT25:RNT31 RDX25:RDX31 QUB25:QUB31 QKF25:QKF31 QAJ25:QAJ31 PQN25:PQN31 PGR25:PGR31 OWV25:OWV31 OMZ25:OMZ31 ODD25:ODD31 NTH25:NTH31 NJL25:NJL31 MZP25:MZP31 MPT25:MPT31 MFX25:MFX31 LWB25:LWB31 LMF25:LMF31 LCJ25:LCJ31 KSN25:KSN31 KIR25:KIR31 JYV25:JYV31 JOZ25:JOZ31 JFD25:JFD31 IVH25:IVH31 ILL25:ILL31 IBP25:IBP31 HRT25:HRT31 HHX25:HHX31 GYB25:GYB31 GOF25:GOF31 GEJ25:GEJ31 FUN25:FUN31 FKR25:FKR31 FAV25:FAV31 EQZ25:EQZ31 EHD25:EHD31 DXH25:DXH31 DNL25:DNL31 DDP25:DDP31 CTT25:CTT31 CJX25:CJX31 CAB25:CAB31 BQF25:BQF31 BGJ25:BGJ31 AWN25:AWN31 AMR25:AMR31 ACV25:ACV31 SZ25:SZ31 I25:I32" xr:uid="{00000000-0002-0000-0500-000003000000}">
      <formula1>$B$38:$B$39</formula1>
    </dataValidation>
    <dataValidation type="list" allowBlank="1" showInputMessage="1" showErrorMessage="1" prompt="Indica si la jornada es completa o parcial, independientemente de su %" sqref="JE25:JE31 WVQ983060:WVQ983066 WLU983060:WLU983066 WBY983060:WBY983066 VSC983060:VSC983066 VIG983060:VIG983066 UYK983060:UYK983066 UOO983060:UOO983066 UES983060:UES983066 TUW983060:TUW983066 TLA983060:TLA983066 TBE983060:TBE983066 SRI983060:SRI983066 SHM983060:SHM983066 RXQ983060:RXQ983066 RNU983060:RNU983066 RDY983060:RDY983066 QUC983060:QUC983066 QKG983060:QKG983066 QAK983060:QAK983066 PQO983060:PQO983066 PGS983060:PGS983066 OWW983060:OWW983066 ONA983060:ONA983066 ODE983060:ODE983066 NTI983060:NTI983066 NJM983060:NJM983066 MZQ983060:MZQ983066 MPU983060:MPU983066 MFY983060:MFY983066 LWC983060:LWC983066 LMG983060:LMG983066 LCK983060:LCK983066 KSO983060:KSO983066 KIS983060:KIS983066 JYW983060:JYW983066 JPA983060:JPA983066 JFE983060:JFE983066 IVI983060:IVI983066 ILM983060:ILM983066 IBQ983060:IBQ983066 HRU983060:HRU983066 HHY983060:HHY983066 GYC983060:GYC983066 GOG983060:GOG983066 GEK983060:GEK983066 FUO983060:FUO983066 FKS983060:FKS983066 FAW983060:FAW983066 ERA983060:ERA983066 EHE983060:EHE983066 DXI983060:DXI983066 DNM983060:DNM983066 DDQ983060:DDQ983066 CTU983060:CTU983066 CJY983060:CJY983066 CAC983060:CAC983066 BQG983060:BQG983066 BGK983060:BGK983066 AWO983060:AWO983066 AMS983060:AMS983066 ACW983060:ACW983066 TA983060:TA983066 JE983060:JE983066 J983060:J983066 WVQ917524:WVQ917530 WLU917524:WLU917530 WBY917524:WBY917530 VSC917524:VSC917530 VIG917524:VIG917530 UYK917524:UYK917530 UOO917524:UOO917530 UES917524:UES917530 TUW917524:TUW917530 TLA917524:TLA917530 TBE917524:TBE917530 SRI917524:SRI917530 SHM917524:SHM917530 RXQ917524:RXQ917530 RNU917524:RNU917530 RDY917524:RDY917530 QUC917524:QUC917530 QKG917524:QKG917530 QAK917524:QAK917530 PQO917524:PQO917530 PGS917524:PGS917530 OWW917524:OWW917530 ONA917524:ONA917530 ODE917524:ODE917530 NTI917524:NTI917530 NJM917524:NJM917530 MZQ917524:MZQ917530 MPU917524:MPU917530 MFY917524:MFY917530 LWC917524:LWC917530 LMG917524:LMG917530 LCK917524:LCK917530 KSO917524:KSO917530 KIS917524:KIS917530 JYW917524:JYW917530 JPA917524:JPA917530 JFE917524:JFE917530 IVI917524:IVI917530 ILM917524:ILM917530 IBQ917524:IBQ917530 HRU917524:HRU917530 HHY917524:HHY917530 GYC917524:GYC917530 GOG917524:GOG917530 GEK917524:GEK917530 FUO917524:FUO917530 FKS917524:FKS917530 FAW917524:FAW917530 ERA917524:ERA917530 EHE917524:EHE917530 DXI917524:DXI917530 DNM917524:DNM917530 DDQ917524:DDQ917530 CTU917524:CTU917530 CJY917524:CJY917530 CAC917524:CAC917530 BQG917524:BQG917530 BGK917524:BGK917530 AWO917524:AWO917530 AMS917524:AMS917530 ACW917524:ACW917530 TA917524:TA917530 JE917524:JE917530 J917524:J917530 WVQ851988:WVQ851994 WLU851988:WLU851994 WBY851988:WBY851994 VSC851988:VSC851994 VIG851988:VIG851994 UYK851988:UYK851994 UOO851988:UOO851994 UES851988:UES851994 TUW851988:TUW851994 TLA851988:TLA851994 TBE851988:TBE851994 SRI851988:SRI851994 SHM851988:SHM851994 RXQ851988:RXQ851994 RNU851988:RNU851994 RDY851988:RDY851994 QUC851988:QUC851994 QKG851988:QKG851994 QAK851988:QAK851994 PQO851988:PQO851994 PGS851988:PGS851994 OWW851988:OWW851994 ONA851988:ONA851994 ODE851988:ODE851994 NTI851988:NTI851994 NJM851988:NJM851994 MZQ851988:MZQ851994 MPU851988:MPU851994 MFY851988:MFY851994 LWC851988:LWC851994 LMG851988:LMG851994 LCK851988:LCK851994 KSO851988:KSO851994 KIS851988:KIS851994 JYW851988:JYW851994 JPA851988:JPA851994 JFE851988:JFE851994 IVI851988:IVI851994 ILM851988:ILM851994 IBQ851988:IBQ851994 HRU851988:HRU851994 HHY851988:HHY851994 GYC851988:GYC851994 GOG851988:GOG851994 GEK851988:GEK851994 FUO851988:FUO851994 FKS851988:FKS851994 FAW851988:FAW851994 ERA851988:ERA851994 EHE851988:EHE851994 DXI851988:DXI851994 DNM851988:DNM851994 DDQ851988:DDQ851994 CTU851988:CTU851994 CJY851988:CJY851994 CAC851988:CAC851994 BQG851988:BQG851994 BGK851988:BGK851994 AWO851988:AWO851994 AMS851988:AMS851994 ACW851988:ACW851994 TA851988:TA851994 JE851988:JE851994 J851988:J851994 WVQ786452:WVQ786458 WLU786452:WLU786458 WBY786452:WBY786458 VSC786452:VSC786458 VIG786452:VIG786458 UYK786452:UYK786458 UOO786452:UOO786458 UES786452:UES786458 TUW786452:TUW786458 TLA786452:TLA786458 TBE786452:TBE786458 SRI786452:SRI786458 SHM786452:SHM786458 RXQ786452:RXQ786458 RNU786452:RNU786458 RDY786452:RDY786458 QUC786452:QUC786458 QKG786452:QKG786458 QAK786452:QAK786458 PQO786452:PQO786458 PGS786452:PGS786458 OWW786452:OWW786458 ONA786452:ONA786458 ODE786452:ODE786458 NTI786452:NTI786458 NJM786452:NJM786458 MZQ786452:MZQ786458 MPU786452:MPU786458 MFY786452:MFY786458 LWC786452:LWC786458 LMG786452:LMG786458 LCK786452:LCK786458 KSO786452:KSO786458 KIS786452:KIS786458 JYW786452:JYW786458 JPA786452:JPA786458 JFE786452:JFE786458 IVI786452:IVI786458 ILM786452:ILM786458 IBQ786452:IBQ786458 HRU786452:HRU786458 HHY786452:HHY786458 GYC786452:GYC786458 GOG786452:GOG786458 GEK786452:GEK786458 FUO786452:FUO786458 FKS786452:FKS786458 FAW786452:FAW786458 ERA786452:ERA786458 EHE786452:EHE786458 DXI786452:DXI786458 DNM786452:DNM786458 DDQ786452:DDQ786458 CTU786452:CTU786458 CJY786452:CJY786458 CAC786452:CAC786458 BQG786452:BQG786458 BGK786452:BGK786458 AWO786452:AWO786458 AMS786452:AMS786458 ACW786452:ACW786458 TA786452:TA786458 JE786452:JE786458 J786452:J786458 WVQ720916:WVQ720922 WLU720916:WLU720922 WBY720916:WBY720922 VSC720916:VSC720922 VIG720916:VIG720922 UYK720916:UYK720922 UOO720916:UOO720922 UES720916:UES720922 TUW720916:TUW720922 TLA720916:TLA720922 TBE720916:TBE720922 SRI720916:SRI720922 SHM720916:SHM720922 RXQ720916:RXQ720922 RNU720916:RNU720922 RDY720916:RDY720922 QUC720916:QUC720922 QKG720916:QKG720922 QAK720916:QAK720922 PQO720916:PQO720922 PGS720916:PGS720922 OWW720916:OWW720922 ONA720916:ONA720922 ODE720916:ODE720922 NTI720916:NTI720922 NJM720916:NJM720922 MZQ720916:MZQ720922 MPU720916:MPU720922 MFY720916:MFY720922 LWC720916:LWC720922 LMG720916:LMG720922 LCK720916:LCK720922 KSO720916:KSO720922 KIS720916:KIS720922 JYW720916:JYW720922 JPA720916:JPA720922 JFE720916:JFE720922 IVI720916:IVI720922 ILM720916:ILM720922 IBQ720916:IBQ720922 HRU720916:HRU720922 HHY720916:HHY720922 GYC720916:GYC720922 GOG720916:GOG720922 GEK720916:GEK720922 FUO720916:FUO720922 FKS720916:FKS720922 FAW720916:FAW720922 ERA720916:ERA720922 EHE720916:EHE720922 DXI720916:DXI720922 DNM720916:DNM720922 DDQ720916:DDQ720922 CTU720916:CTU720922 CJY720916:CJY720922 CAC720916:CAC720922 BQG720916:BQG720922 BGK720916:BGK720922 AWO720916:AWO720922 AMS720916:AMS720922 ACW720916:ACW720922 TA720916:TA720922 JE720916:JE720922 J720916:J720922 WVQ655380:WVQ655386 WLU655380:WLU655386 WBY655380:WBY655386 VSC655380:VSC655386 VIG655380:VIG655386 UYK655380:UYK655386 UOO655380:UOO655386 UES655380:UES655386 TUW655380:TUW655386 TLA655380:TLA655386 TBE655380:TBE655386 SRI655380:SRI655386 SHM655380:SHM655386 RXQ655380:RXQ655386 RNU655380:RNU655386 RDY655380:RDY655386 QUC655380:QUC655386 QKG655380:QKG655386 QAK655380:QAK655386 PQO655380:PQO655386 PGS655380:PGS655386 OWW655380:OWW655386 ONA655380:ONA655386 ODE655380:ODE655386 NTI655380:NTI655386 NJM655380:NJM655386 MZQ655380:MZQ655386 MPU655380:MPU655386 MFY655380:MFY655386 LWC655380:LWC655386 LMG655380:LMG655386 LCK655380:LCK655386 KSO655380:KSO655386 KIS655380:KIS655386 JYW655380:JYW655386 JPA655380:JPA655386 JFE655380:JFE655386 IVI655380:IVI655386 ILM655380:ILM655386 IBQ655380:IBQ655386 HRU655380:HRU655386 HHY655380:HHY655386 GYC655380:GYC655386 GOG655380:GOG655386 GEK655380:GEK655386 FUO655380:FUO655386 FKS655380:FKS655386 FAW655380:FAW655386 ERA655380:ERA655386 EHE655380:EHE655386 DXI655380:DXI655386 DNM655380:DNM655386 DDQ655380:DDQ655386 CTU655380:CTU655386 CJY655380:CJY655386 CAC655380:CAC655386 BQG655380:BQG655386 BGK655380:BGK655386 AWO655380:AWO655386 AMS655380:AMS655386 ACW655380:ACW655386 TA655380:TA655386 JE655380:JE655386 J655380:J655386 WVQ589844:WVQ589850 WLU589844:WLU589850 WBY589844:WBY589850 VSC589844:VSC589850 VIG589844:VIG589850 UYK589844:UYK589850 UOO589844:UOO589850 UES589844:UES589850 TUW589844:TUW589850 TLA589844:TLA589850 TBE589844:TBE589850 SRI589844:SRI589850 SHM589844:SHM589850 RXQ589844:RXQ589850 RNU589844:RNU589850 RDY589844:RDY589850 QUC589844:QUC589850 QKG589844:QKG589850 QAK589844:QAK589850 PQO589844:PQO589850 PGS589844:PGS589850 OWW589844:OWW589850 ONA589844:ONA589850 ODE589844:ODE589850 NTI589844:NTI589850 NJM589844:NJM589850 MZQ589844:MZQ589850 MPU589844:MPU589850 MFY589844:MFY589850 LWC589844:LWC589850 LMG589844:LMG589850 LCK589844:LCK589850 KSO589844:KSO589850 KIS589844:KIS589850 JYW589844:JYW589850 JPA589844:JPA589850 JFE589844:JFE589850 IVI589844:IVI589850 ILM589844:ILM589850 IBQ589844:IBQ589850 HRU589844:HRU589850 HHY589844:HHY589850 GYC589844:GYC589850 GOG589844:GOG589850 GEK589844:GEK589850 FUO589844:FUO589850 FKS589844:FKS589850 FAW589844:FAW589850 ERA589844:ERA589850 EHE589844:EHE589850 DXI589844:DXI589850 DNM589844:DNM589850 DDQ589844:DDQ589850 CTU589844:CTU589850 CJY589844:CJY589850 CAC589844:CAC589850 BQG589844:BQG589850 BGK589844:BGK589850 AWO589844:AWO589850 AMS589844:AMS589850 ACW589844:ACW589850 TA589844:TA589850 JE589844:JE589850 J589844:J589850 WVQ524308:WVQ524314 WLU524308:WLU524314 WBY524308:WBY524314 VSC524308:VSC524314 VIG524308:VIG524314 UYK524308:UYK524314 UOO524308:UOO524314 UES524308:UES524314 TUW524308:TUW524314 TLA524308:TLA524314 TBE524308:TBE524314 SRI524308:SRI524314 SHM524308:SHM524314 RXQ524308:RXQ524314 RNU524308:RNU524314 RDY524308:RDY524314 QUC524308:QUC524314 QKG524308:QKG524314 QAK524308:QAK524314 PQO524308:PQO524314 PGS524308:PGS524314 OWW524308:OWW524314 ONA524308:ONA524314 ODE524308:ODE524314 NTI524308:NTI524314 NJM524308:NJM524314 MZQ524308:MZQ524314 MPU524308:MPU524314 MFY524308:MFY524314 LWC524308:LWC524314 LMG524308:LMG524314 LCK524308:LCK524314 KSO524308:KSO524314 KIS524308:KIS524314 JYW524308:JYW524314 JPA524308:JPA524314 JFE524308:JFE524314 IVI524308:IVI524314 ILM524308:ILM524314 IBQ524308:IBQ524314 HRU524308:HRU524314 HHY524308:HHY524314 GYC524308:GYC524314 GOG524308:GOG524314 GEK524308:GEK524314 FUO524308:FUO524314 FKS524308:FKS524314 FAW524308:FAW524314 ERA524308:ERA524314 EHE524308:EHE524314 DXI524308:DXI524314 DNM524308:DNM524314 DDQ524308:DDQ524314 CTU524308:CTU524314 CJY524308:CJY524314 CAC524308:CAC524314 BQG524308:BQG524314 BGK524308:BGK524314 AWO524308:AWO524314 AMS524308:AMS524314 ACW524308:ACW524314 TA524308:TA524314 JE524308:JE524314 J524308:J524314 WVQ458772:WVQ458778 WLU458772:WLU458778 WBY458772:WBY458778 VSC458772:VSC458778 VIG458772:VIG458778 UYK458772:UYK458778 UOO458772:UOO458778 UES458772:UES458778 TUW458772:TUW458778 TLA458772:TLA458778 TBE458772:TBE458778 SRI458772:SRI458778 SHM458772:SHM458778 RXQ458772:RXQ458778 RNU458772:RNU458778 RDY458772:RDY458778 QUC458772:QUC458778 QKG458772:QKG458778 QAK458772:QAK458778 PQO458772:PQO458778 PGS458772:PGS458778 OWW458772:OWW458778 ONA458772:ONA458778 ODE458772:ODE458778 NTI458772:NTI458778 NJM458772:NJM458778 MZQ458772:MZQ458778 MPU458772:MPU458778 MFY458772:MFY458778 LWC458772:LWC458778 LMG458772:LMG458778 LCK458772:LCK458778 KSO458772:KSO458778 KIS458772:KIS458778 JYW458772:JYW458778 JPA458772:JPA458778 JFE458772:JFE458778 IVI458772:IVI458778 ILM458772:ILM458778 IBQ458772:IBQ458778 HRU458772:HRU458778 HHY458772:HHY458778 GYC458772:GYC458778 GOG458772:GOG458778 GEK458772:GEK458778 FUO458772:FUO458778 FKS458772:FKS458778 FAW458772:FAW458778 ERA458772:ERA458778 EHE458772:EHE458778 DXI458772:DXI458778 DNM458772:DNM458778 DDQ458772:DDQ458778 CTU458772:CTU458778 CJY458772:CJY458778 CAC458772:CAC458778 BQG458772:BQG458778 BGK458772:BGK458778 AWO458772:AWO458778 AMS458772:AMS458778 ACW458772:ACW458778 TA458772:TA458778 JE458772:JE458778 J458772:J458778 WVQ393236:WVQ393242 WLU393236:WLU393242 WBY393236:WBY393242 VSC393236:VSC393242 VIG393236:VIG393242 UYK393236:UYK393242 UOO393236:UOO393242 UES393236:UES393242 TUW393236:TUW393242 TLA393236:TLA393242 TBE393236:TBE393242 SRI393236:SRI393242 SHM393236:SHM393242 RXQ393236:RXQ393242 RNU393236:RNU393242 RDY393236:RDY393242 QUC393236:QUC393242 QKG393236:QKG393242 QAK393236:QAK393242 PQO393236:PQO393242 PGS393236:PGS393242 OWW393236:OWW393242 ONA393236:ONA393242 ODE393236:ODE393242 NTI393236:NTI393242 NJM393236:NJM393242 MZQ393236:MZQ393242 MPU393236:MPU393242 MFY393236:MFY393242 LWC393236:LWC393242 LMG393236:LMG393242 LCK393236:LCK393242 KSO393236:KSO393242 KIS393236:KIS393242 JYW393236:JYW393242 JPA393236:JPA393242 JFE393236:JFE393242 IVI393236:IVI393242 ILM393236:ILM393242 IBQ393236:IBQ393242 HRU393236:HRU393242 HHY393236:HHY393242 GYC393236:GYC393242 GOG393236:GOG393242 GEK393236:GEK393242 FUO393236:FUO393242 FKS393236:FKS393242 FAW393236:FAW393242 ERA393236:ERA393242 EHE393236:EHE393242 DXI393236:DXI393242 DNM393236:DNM393242 DDQ393236:DDQ393242 CTU393236:CTU393242 CJY393236:CJY393242 CAC393236:CAC393242 BQG393236:BQG393242 BGK393236:BGK393242 AWO393236:AWO393242 AMS393236:AMS393242 ACW393236:ACW393242 TA393236:TA393242 JE393236:JE393242 J393236:J393242 WVQ327700:WVQ327706 WLU327700:WLU327706 WBY327700:WBY327706 VSC327700:VSC327706 VIG327700:VIG327706 UYK327700:UYK327706 UOO327700:UOO327706 UES327700:UES327706 TUW327700:TUW327706 TLA327700:TLA327706 TBE327700:TBE327706 SRI327700:SRI327706 SHM327700:SHM327706 RXQ327700:RXQ327706 RNU327700:RNU327706 RDY327700:RDY327706 QUC327700:QUC327706 QKG327700:QKG327706 QAK327700:QAK327706 PQO327700:PQO327706 PGS327700:PGS327706 OWW327700:OWW327706 ONA327700:ONA327706 ODE327700:ODE327706 NTI327700:NTI327706 NJM327700:NJM327706 MZQ327700:MZQ327706 MPU327700:MPU327706 MFY327700:MFY327706 LWC327700:LWC327706 LMG327700:LMG327706 LCK327700:LCK327706 KSO327700:KSO327706 KIS327700:KIS327706 JYW327700:JYW327706 JPA327700:JPA327706 JFE327700:JFE327706 IVI327700:IVI327706 ILM327700:ILM327706 IBQ327700:IBQ327706 HRU327700:HRU327706 HHY327700:HHY327706 GYC327700:GYC327706 GOG327700:GOG327706 GEK327700:GEK327706 FUO327700:FUO327706 FKS327700:FKS327706 FAW327700:FAW327706 ERA327700:ERA327706 EHE327700:EHE327706 DXI327700:DXI327706 DNM327700:DNM327706 DDQ327700:DDQ327706 CTU327700:CTU327706 CJY327700:CJY327706 CAC327700:CAC327706 BQG327700:BQG327706 BGK327700:BGK327706 AWO327700:AWO327706 AMS327700:AMS327706 ACW327700:ACW327706 TA327700:TA327706 JE327700:JE327706 J327700:J327706 WVQ262164:WVQ262170 WLU262164:WLU262170 WBY262164:WBY262170 VSC262164:VSC262170 VIG262164:VIG262170 UYK262164:UYK262170 UOO262164:UOO262170 UES262164:UES262170 TUW262164:TUW262170 TLA262164:TLA262170 TBE262164:TBE262170 SRI262164:SRI262170 SHM262164:SHM262170 RXQ262164:RXQ262170 RNU262164:RNU262170 RDY262164:RDY262170 QUC262164:QUC262170 QKG262164:QKG262170 QAK262164:QAK262170 PQO262164:PQO262170 PGS262164:PGS262170 OWW262164:OWW262170 ONA262164:ONA262170 ODE262164:ODE262170 NTI262164:NTI262170 NJM262164:NJM262170 MZQ262164:MZQ262170 MPU262164:MPU262170 MFY262164:MFY262170 LWC262164:LWC262170 LMG262164:LMG262170 LCK262164:LCK262170 KSO262164:KSO262170 KIS262164:KIS262170 JYW262164:JYW262170 JPA262164:JPA262170 JFE262164:JFE262170 IVI262164:IVI262170 ILM262164:ILM262170 IBQ262164:IBQ262170 HRU262164:HRU262170 HHY262164:HHY262170 GYC262164:GYC262170 GOG262164:GOG262170 GEK262164:GEK262170 FUO262164:FUO262170 FKS262164:FKS262170 FAW262164:FAW262170 ERA262164:ERA262170 EHE262164:EHE262170 DXI262164:DXI262170 DNM262164:DNM262170 DDQ262164:DDQ262170 CTU262164:CTU262170 CJY262164:CJY262170 CAC262164:CAC262170 BQG262164:BQG262170 BGK262164:BGK262170 AWO262164:AWO262170 AMS262164:AMS262170 ACW262164:ACW262170 TA262164:TA262170 JE262164:JE262170 J262164:J262170 WVQ196628:WVQ196634 WLU196628:WLU196634 WBY196628:WBY196634 VSC196628:VSC196634 VIG196628:VIG196634 UYK196628:UYK196634 UOO196628:UOO196634 UES196628:UES196634 TUW196628:TUW196634 TLA196628:TLA196634 TBE196628:TBE196634 SRI196628:SRI196634 SHM196628:SHM196634 RXQ196628:RXQ196634 RNU196628:RNU196634 RDY196628:RDY196634 QUC196628:QUC196634 QKG196628:QKG196634 QAK196628:QAK196634 PQO196628:PQO196634 PGS196628:PGS196634 OWW196628:OWW196634 ONA196628:ONA196634 ODE196628:ODE196634 NTI196628:NTI196634 NJM196628:NJM196634 MZQ196628:MZQ196634 MPU196628:MPU196634 MFY196628:MFY196634 LWC196628:LWC196634 LMG196628:LMG196634 LCK196628:LCK196634 KSO196628:KSO196634 KIS196628:KIS196634 JYW196628:JYW196634 JPA196628:JPA196634 JFE196628:JFE196634 IVI196628:IVI196634 ILM196628:ILM196634 IBQ196628:IBQ196634 HRU196628:HRU196634 HHY196628:HHY196634 GYC196628:GYC196634 GOG196628:GOG196634 GEK196628:GEK196634 FUO196628:FUO196634 FKS196628:FKS196634 FAW196628:FAW196634 ERA196628:ERA196634 EHE196628:EHE196634 DXI196628:DXI196634 DNM196628:DNM196634 DDQ196628:DDQ196634 CTU196628:CTU196634 CJY196628:CJY196634 CAC196628:CAC196634 BQG196628:BQG196634 BGK196628:BGK196634 AWO196628:AWO196634 AMS196628:AMS196634 ACW196628:ACW196634 TA196628:TA196634 JE196628:JE196634 J196628:J196634 WVQ131092:WVQ131098 WLU131092:WLU131098 WBY131092:WBY131098 VSC131092:VSC131098 VIG131092:VIG131098 UYK131092:UYK131098 UOO131092:UOO131098 UES131092:UES131098 TUW131092:TUW131098 TLA131092:TLA131098 TBE131092:TBE131098 SRI131092:SRI131098 SHM131092:SHM131098 RXQ131092:RXQ131098 RNU131092:RNU131098 RDY131092:RDY131098 QUC131092:QUC131098 QKG131092:QKG131098 QAK131092:QAK131098 PQO131092:PQO131098 PGS131092:PGS131098 OWW131092:OWW131098 ONA131092:ONA131098 ODE131092:ODE131098 NTI131092:NTI131098 NJM131092:NJM131098 MZQ131092:MZQ131098 MPU131092:MPU131098 MFY131092:MFY131098 LWC131092:LWC131098 LMG131092:LMG131098 LCK131092:LCK131098 KSO131092:KSO131098 KIS131092:KIS131098 JYW131092:JYW131098 JPA131092:JPA131098 JFE131092:JFE131098 IVI131092:IVI131098 ILM131092:ILM131098 IBQ131092:IBQ131098 HRU131092:HRU131098 HHY131092:HHY131098 GYC131092:GYC131098 GOG131092:GOG131098 GEK131092:GEK131098 FUO131092:FUO131098 FKS131092:FKS131098 FAW131092:FAW131098 ERA131092:ERA131098 EHE131092:EHE131098 DXI131092:DXI131098 DNM131092:DNM131098 DDQ131092:DDQ131098 CTU131092:CTU131098 CJY131092:CJY131098 CAC131092:CAC131098 BQG131092:BQG131098 BGK131092:BGK131098 AWO131092:AWO131098 AMS131092:AMS131098 ACW131092:ACW131098 TA131092:TA131098 JE131092:JE131098 J131092:J131098 WVQ65556:WVQ65562 WLU65556:WLU65562 WBY65556:WBY65562 VSC65556:VSC65562 VIG65556:VIG65562 UYK65556:UYK65562 UOO65556:UOO65562 UES65556:UES65562 TUW65556:TUW65562 TLA65556:TLA65562 TBE65556:TBE65562 SRI65556:SRI65562 SHM65556:SHM65562 RXQ65556:RXQ65562 RNU65556:RNU65562 RDY65556:RDY65562 QUC65556:QUC65562 QKG65556:QKG65562 QAK65556:QAK65562 PQO65556:PQO65562 PGS65556:PGS65562 OWW65556:OWW65562 ONA65556:ONA65562 ODE65556:ODE65562 NTI65556:NTI65562 NJM65556:NJM65562 MZQ65556:MZQ65562 MPU65556:MPU65562 MFY65556:MFY65562 LWC65556:LWC65562 LMG65556:LMG65562 LCK65556:LCK65562 KSO65556:KSO65562 KIS65556:KIS65562 JYW65556:JYW65562 JPA65556:JPA65562 JFE65556:JFE65562 IVI65556:IVI65562 ILM65556:ILM65562 IBQ65556:IBQ65562 HRU65556:HRU65562 HHY65556:HHY65562 GYC65556:GYC65562 GOG65556:GOG65562 GEK65556:GEK65562 FUO65556:FUO65562 FKS65556:FKS65562 FAW65556:FAW65562 ERA65556:ERA65562 EHE65556:EHE65562 DXI65556:DXI65562 DNM65556:DNM65562 DDQ65556:DDQ65562 CTU65556:CTU65562 CJY65556:CJY65562 CAC65556:CAC65562 BQG65556:BQG65562 BGK65556:BGK65562 AWO65556:AWO65562 AMS65556:AMS65562 ACW65556:ACW65562 TA65556:TA65562 JE65556:JE65562 J65556:J65562 WVQ25:WVQ31 WLU25:WLU31 WBY25:WBY31 VSC25:VSC31 VIG25:VIG31 UYK25:UYK31 UOO25:UOO31 UES25:UES31 TUW25:TUW31 TLA25:TLA31 TBE25:TBE31 SRI25:SRI31 SHM25:SHM31 RXQ25:RXQ31 RNU25:RNU31 RDY25:RDY31 QUC25:QUC31 QKG25:QKG31 QAK25:QAK31 PQO25:PQO31 PGS25:PGS31 OWW25:OWW31 ONA25:ONA31 ODE25:ODE31 NTI25:NTI31 NJM25:NJM31 MZQ25:MZQ31 MPU25:MPU31 MFY25:MFY31 LWC25:LWC31 LMG25:LMG31 LCK25:LCK31 KSO25:KSO31 KIS25:KIS31 JYW25:JYW31 JPA25:JPA31 JFE25:JFE31 IVI25:IVI31 ILM25:ILM31 IBQ25:IBQ31 HRU25:HRU31 HHY25:HHY31 GYC25:GYC31 GOG25:GOG31 GEK25:GEK31 FUO25:FUO31 FKS25:FKS31 FAW25:FAW31 ERA25:ERA31 EHE25:EHE31 DXI25:DXI31 DNM25:DNM31 DDQ25:DDQ31 CTU25:CTU31 CJY25:CJY31 CAC25:CAC31 BQG25:BQG31 BGK25:BGK31 AWO25:AWO31 AMS25:AMS31 ACW25:ACW31 TA25:TA31 J25:J32" xr:uid="{00000000-0002-0000-0500-000004000000}">
      <formula1>$B$41:$B$42</formula1>
    </dataValidation>
  </dataValidations>
  <pageMargins left="0.7" right="0.7" top="0.75" bottom="0.75" header="0.3" footer="0.3"/>
  <pageSetup paperSize="9" orientation="portrait" horizontalDpi="360" verticalDpi="360" r:id="rId1"/>
  <ignoredErrors>
    <ignoredError sqref="C19" unlockedFormula="1"/>
  </ignoredError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BCDA-4F8D-440A-B80E-A3AE718D8C71}">
  <sheetPr codeName="Hoja5">
    <tabColor rgb="FF92D050"/>
  </sheetPr>
  <dimension ref="B2:O68"/>
  <sheetViews>
    <sheetView zoomScaleNormal="100" workbookViewId="0">
      <selection activeCell="B66" sqref="B66:I68"/>
    </sheetView>
  </sheetViews>
  <sheetFormatPr baseColWidth="10" defaultRowHeight="13.8"/>
  <cols>
    <col min="1" max="1" width="2.44140625" style="1" customWidth="1"/>
    <col min="2" max="2" width="33.44140625" style="1" bestFit="1" customWidth="1"/>
    <col min="3" max="3" width="17.44140625" style="1" customWidth="1"/>
    <col min="4" max="4" width="16.33203125" style="1" customWidth="1"/>
    <col min="5" max="5" width="14.44140625" style="1" customWidth="1"/>
    <col min="6" max="6" width="17.44140625" style="1" customWidth="1"/>
    <col min="7" max="7" width="13.44140625" style="1" customWidth="1"/>
    <col min="8" max="9" width="11.44140625" style="1"/>
    <col min="10" max="10" width="15.44140625" style="1" customWidth="1"/>
    <col min="11" max="11" width="17.33203125" style="1" customWidth="1"/>
    <col min="12" max="12" width="16" style="1" customWidth="1"/>
    <col min="13" max="14" width="15.44140625" style="1" bestFit="1" customWidth="1"/>
    <col min="15" max="15" width="11.44140625" style="1"/>
    <col min="16" max="16" width="12.44140625" style="1" bestFit="1" customWidth="1"/>
    <col min="17" max="257" width="11.44140625" style="1"/>
    <col min="258" max="258" width="14.77734375" style="1" customWidth="1"/>
    <col min="259" max="513" width="11.44140625" style="1"/>
    <col min="514" max="514" width="14.77734375" style="1" customWidth="1"/>
    <col min="515" max="769" width="11.44140625" style="1"/>
    <col min="770" max="770" width="14.77734375" style="1" customWidth="1"/>
    <col min="771" max="1025" width="11.44140625" style="1"/>
    <col min="1026" max="1026" width="14.77734375" style="1" customWidth="1"/>
    <col min="1027" max="1281" width="11.44140625" style="1"/>
    <col min="1282" max="1282" width="14.77734375" style="1" customWidth="1"/>
    <col min="1283" max="1537" width="11.44140625" style="1"/>
    <col min="1538" max="1538" width="14.77734375" style="1" customWidth="1"/>
    <col min="1539" max="1793" width="11.44140625" style="1"/>
    <col min="1794" max="1794" width="14.77734375" style="1" customWidth="1"/>
    <col min="1795" max="2049" width="11.44140625" style="1"/>
    <col min="2050" max="2050" width="14.77734375" style="1" customWidth="1"/>
    <col min="2051" max="2305" width="11.44140625" style="1"/>
    <col min="2306" max="2306" width="14.77734375" style="1" customWidth="1"/>
    <col min="2307" max="2561" width="11.44140625" style="1"/>
    <col min="2562" max="2562" width="14.77734375" style="1" customWidth="1"/>
    <col min="2563" max="2817" width="11.44140625" style="1"/>
    <col min="2818" max="2818" width="14.77734375" style="1" customWidth="1"/>
    <col min="2819" max="3073" width="11.44140625" style="1"/>
    <col min="3074" max="3074" width="14.77734375" style="1" customWidth="1"/>
    <col min="3075" max="3329" width="11.44140625" style="1"/>
    <col min="3330" max="3330" width="14.77734375" style="1" customWidth="1"/>
    <col min="3331" max="3585" width="11.44140625" style="1"/>
    <col min="3586" max="3586" width="14.77734375" style="1" customWidth="1"/>
    <col min="3587" max="3841" width="11.44140625" style="1"/>
    <col min="3842" max="3842" width="14.77734375" style="1" customWidth="1"/>
    <col min="3843" max="4097" width="11.44140625" style="1"/>
    <col min="4098" max="4098" width="14.77734375" style="1" customWidth="1"/>
    <col min="4099" max="4353" width="11.44140625" style="1"/>
    <col min="4354" max="4354" width="14.77734375" style="1" customWidth="1"/>
    <col min="4355" max="4609" width="11.44140625" style="1"/>
    <col min="4610" max="4610" width="14.77734375" style="1" customWidth="1"/>
    <col min="4611" max="4865" width="11.44140625" style="1"/>
    <col min="4866" max="4866" width="14.77734375" style="1" customWidth="1"/>
    <col min="4867" max="5121" width="11.44140625" style="1"/>
    <col min="5122" max="5122" width="14.77734375" style="1" customWidth="1"/>
    <col min="5123" max="5377" width="11.44140625" style="1"/>
    <col min="5378" max="5378" width="14.77734375" style="1" customWidth="1"/>
    <col min="5379" max="5633" width="11.44140625" style="1"/>
    <col min="5634" max="5634" width="14.77734375" style="1" customWidth="1"/>
    <col min="5635" max="5889" width="11.44140625" style="1"/>
    <col min="5890" max="5890" width="14.77734375" style="1" customWidth="1"/>
    <col min="5891" max="6145" width="11.44140625" style="1"/>
    <col min="6146" max="6146" width="14.77734375" style="1" customWidth="1"/>
    <col min="6147" max="6401" width="11.44140625" style="1"/>
    <col min="6402" max="6402" width="14.77734375" style="1" customWidth="1"/>
    <col min="6403" max="6657" width="11.44140625" style="1"/>
    <col min="6658" max="6658" width="14.77734375" style="1" customWidth="1"/>
    <col min="6659" max="6913" width="11.44140625" style="1"/>
    <col min="6914" max="6914" width="14.77734375" style="1" customWidth="1"/>
    <col min="6915" max="7169" width="11.44140625" style="1"/>
    <col min="7170" max="7170" width="14.77734375" style="1" customWidth="1"/>
    <col min="7171" max="7425" width="11.44140625" style="1"/>
    <col min="7426" max="7426" width="14.77734375" style="1" customWidth="1"/>
    <col min="7427" max="7681" width="11.44140625" style="1"/>
    <col min="7682" max="7682" width="14.77734375" style="1" customWidth="1"/>
    <col min="7683" max="7937" width="11.44140625" style="1"/>
    <col min="7938" max="7938" width="14.77734375" style="1" customWidth="1"/>
    <col min="7939" max="8193" width="11.44140625" style="1"/>
    <col min="8194" max="8194" width="14.77734375" style="1" customWidth="1"/>
    <col min="8195" max="8449" width="11.44140625" style="1"/>
    <col min="8450" max="8450" width="14.77734375" style="1" customWidth="1"/>
    <col min="8451" max="8705" width="11.44140625" style="1"/>
    <col min="8706" max="8706" width="14.77734375" style="1" customWidth="1"/>
    <col min="8707" max="8961" width="11.44140625" style="1"/>
    <col min="8962" max="8962" width="14.77734375" style="1" customWidth="1"/>
    <col min="8963" max="9217" width="11.44140625" style="1"/>
    <col min="9218" max="9218" width="14.77734375" style="1" customWidth="1"/>
    <col min="9219" max="9473" width="11.44140625" style="1"/>
    <col min="9474" max="9474" width="14.77734375" style="1" customWidth="1"/>
    <col min="9475" max="9729" width="11.44140625" style="1"/>
    <col min="9730" max="9730" width="14.77734375" style="1" customWidth="1"/>
    <col min="9731" max="9985" width="11.44140625" style="1"/>
    <col min="9986" max="9986" width="14.77734375" style="1" customWidth="1"/>
    <col min="9987" max="10241" width="11.44140625" style="1"/>
    <col min="10242" max="10242" width="14.77734375" style="1" customWidth="1"/>
    <col min="10243" max="10497" width="11.44140625" style="1"/>
    <col min="10498" max="10498" width="14.77734375" style="1" customWidth="1"/>
    <col min="10499" max="10753" width="11.44140625" style="1"/>
    <col min="10754" max="10754" width="14.77734375" style="1" customWidth="1"/>
    <col min="10755" max="11009" width="11.44140625" style="1"/>
    <col min="11010" max="11010" width="14.77734375" style="1" customWidth="1"/>
    <col min="11011" max="11265" width="11.44140625" style="1"/>
    <col min="11266" max="11266" width="14.77734375" style="1" customWidth="1"/>
    <col min="11267" max="11521" width="11.44140625" style="1"/>
    <col min="11522" max="11522" width="14.77734375" style="1" customWidth="1"/>
    <col min="11523" max="11777" width="11.44140625" style="1"/>
    <col min="11778" max="11778" width="14.77734375" style="1" customWidth="1"/>
    <col min="11779" max="12033" width="11.44140625" style="1"/>
    <col min="12034" max="12034" width="14.77734375" style="1" customWidth="1"/>
    <col min="12035" max="12289" width="11.44140625" style="1"/>
    <col min="12290" max="12290" width="14.77734375" style="1" customWidth="1"/>
    <col min="12291" max="12545" width="11.44140625" style="1"/>
    <col min="12546" max="12546" width="14.77734375" style="1" customWidth="1"/>
    <col min="12547" max="12801" width="11.44140625" style="1"/>
    <col min="12802" max="12802" width="14.77734375" style="1" customWidth="1"/>
    <col min="12803" max="13057" width="11.44140625" style="1"/>
    <col min="13058" max="13058" width="14.77734375" style="1" customWidth="1"/>
    <col min="13059" max="13313" width="11.44140625" style="1"/>
    <col min="13314" max="13314" width="14.77734375" style="1" customWidth="1"/>
    <col min="13315" max="13569" width="11.44140625" style="1"/>
    <col min="13570" max="13570" width="14.77734375" style="1" customWidth="1"/>
    <col min="13571" max="13825" width="11.44140625" style="1"/>
    <col min="13826" max="13826" width="14.77734375" style="1" customWidth="1"/>
    <col min="13827" max="14081" width="11.44140625" style="1"/>
    <col min="14082" max="14082" width="14.77734375" style="1" customWidth="1"/>
    <col min="14083" max="14337" width="11.44140625" style="1"/>
    <col min="14338" max="14338" width="14.77734375" style="1" customWidth="1"/>
    <col min="14339" max="14593" width="11.44140625" style="1"/>
    <col min="14594" max="14594" width="14.77734375" style="1" customWidth="1"/>
    <col min="14595" max="14849" width="11.44140625" style="1"/>
    <col min="14850" max="14850" width="14.77734375" style="1" customWidth="1"/>
    <col min="14851" max="15105" width="11.44140625" style="1"/>
    <col min="15106" max="15106" width="14.77734375" style="1" customWidth="1"/>
    <col min="15107" max="15361" width="11.44140625" style="1"/>
    <col min="15362" max="15362" width="14.77734375" style="1" customWidth="1"/>
    <col min="15363" max="15617" width="11.44140625" style="1"/>
    <col min="15618" max="15618" width="14.77734375" style="1" customWidth="1"/>
    <col min="15619" max="15873" width="11.44140625" style="1"/>
    <col min="15874" max="15874" width="14.77734375" style="1" customWidth="1"/>
    <col min="15875" max="16129" width="11.44140625" style="1"/>
    <col min="16130" max="16130" width="14.77734375" style="1" customWidth="1"/>
    <col min="16131" max="16384" width="11.44140625" style="1"/>
  </cols>
  <sheetData>
    <row r="2" spans="2:15" ht="18">
      <c r="E2" s="300" t="s">
        <v>148</v>
      </c>
      <c r="F2" s="300"/>
      <c r="G2" s="300"/>
      <c r="H2" s="300"/>
      <c r="I2" s="300"/>
    </row>
    <row r="4" spans="2:15">
      <c r="E4" s="27"/>
      <c r="O4" s="94"/>
    </row>
    <row r="5" spans="2:15" ht="15.6">
      <c r="B5" s="317" t="s">
        <v>63</v>
      </c>
      <c r="C5" s="317"/>
      <c r="D5" s="40"/>
      <c r="E5" s="40"/>
      <c r="F5" s="40"/>
      <c r="G5" s="40"/>
      <c r="H5" s="40"/>
      <c r="I5" s="40"/>
    </row>
    <row r="6" spans="2:15">
      <c r="B6" s="150" t="s">
        <v>64</v>
      </c>
      <c r="C6" s="150" t="s">
        <v>65</v>
      </c>
      <c r="F6" s="40"/>
      <c r="G6" s="40"/>
      <c r="H6" s="40"/>
      <c r="I6" s="40"/>
    </row>
    <row r="7" spans="2:15">
      <c r="B7" s="137" t="str">
        <f>'Costos Variables'!B7</f>
        <v>Producto / Servicio 1</v>
      </c>
      <c r="C7" s="76">
        <f>Ventas!C7</f>
        <v>150000</v>
      </c>
      <c r="F7" s="40"/>
      <c r="G7" s="40"/>
      <c r="H7" s="40"/>
      <c r="I7" s="40"/>
    </row>
    <row r="8" spans="2:15">
      <c r="B8" s="137" t="str">
        <f>'Costos Variables'!B8</f>
        <v>Producto / Servicio 2</v>
      </c>
      <c r="C8" s="76">
        <f>Ventas!C8</f>
        <v>170000</v>
      </c>
      <c r="E8" s="318" t="s">
        <v>66</v>
      </c>
      <c r="F8" s="318"/>
      <c r="G8" s="318"/>
      <c r="H8" s="40"/>
      <c r="I8" s="40"/>
    </row>
    <row r="9" spans="2:15" ht="15" customHeight="1">
      <c r="B9" s="137" t="str">
        <f>'Costos Variables'!B9</f>
        <v>Producto / Servicio 3</v>
      </c>
      <c r="C9" s="76">
        <f>Ventas!C9</f>
        <v>120000</v>
      </c>
      <c r="E9" s="316" t="s">
        <v>67</v>
      </c>
      <c r="F9" s="316"/>
      <c r="G9" s="316"/>
      <c r="H9" s="77">
        <v>0.05</v>
      </c>
      <c r="I9" s="40"/>
    </row>
    <row r="10" spans="2:15">
      <c r="B10" s="137" t="str">
        <f>'Costos Variables'!B10</f>
        <v>Producto / Servicio 4</v>
      </c>
      <c r="C10" s="76">
        <f>Ventas!C10</f>
        <v>110000</v>
      </c>
      <c r="E10" s="316" t="s">
        <v>68</v>
      </c>
      <c r="F10" s="316"/>
      <c r="G10" s="316"/>
      <c r="H10" s="77">
        <v>4.2000000000000003E-2</v>
      </c>
      <c r="I10" s="40"/>
    </row>
    <row r="11" spans="2:15">
      <c r="I11" s="40"/>
    </row>
    <row r="12" spans="2:15" s="78" customFormat="1" ht="24" customHeight="1">
      <c r="B12" s="312" t="s">
        <v>69</v>
      </c>
      <c r="C12" s="312"/>
      <c r="D12" s="312"/>
      <c r="E12" s="312"/>
      <c r="F12" s="312"/>
      <c r="G12" s="312"/>
      <c r="I12" s="312" t="s">
        <v>163</v>
      </c>
      <c r="J12" s="312"/>
      <c r="K12" s="312"/>
      <c r="L12" s="312"/>
      <c r="M12" s="312"/>
      <c r="N12" s="312"/>
    </row>
    <row r="13" spans="2:15" ht="26.4">
      <c r="B13" s="147"/>
      <c r="C13" s="135" t="str">
        <f>+B7</f>
        <v>Producto / Servicio 1</v>
      </c>
      <c r="D13" s="135" t="str">
        <f>+B8</f>
        <v>Producto / Servicio 2</v>
      </c>
      <c r="E13" s="135" t="str">
        <f>+B9</f>
        <v>Producto / Servicio 3</v>
      </c>
      <c r="F13" s="135" t="str">
        <f>+B10</f>
        <v>Producto / Servicio 4</v>
      </c>
      <c r="G13" s="135" t="s">
        <v>6</v>
      </c>
      <c r="I13" s="147"/>
      <c r="J13" s="135" t="str">
        <f>+C13</f>
        <v>Producto / Servicio 1</v>
      </c>
      <c r="K13" s="135" t="str">
        <f>+D13</f>
        <v>Producto / Servicio 2</v>
      </c>
      <c r="L13" s="135" t="str">
        <f>+E13</f>
        <v>Producto / Servicio 3</v>
      </c>
      <c r="M13" s="135" t="str">
        <f>+F13</f>
        <v>Producto / Servicio 4</v>
      </c>
      <c r="N13" s="135" t="s">
        <v>6</v>
      </c>
    </row>
    <row r="14" spans="2:15">
      <c r="B14" s="146" t="s">
        <v>70</v>
      </c>
      <c r="C14" s="80">
        <f>Ventas!C14</f>
        <v>1000</v>
      </c>
      <c r="D14" s="80">
        <f>Ventas!D14</f>
        <v>800</v>
      </c>
      <c r="E14" s="80">
        <f>Ventas!E14</f>
        <v>600</v>
      </c>
      <c r="F14" s="80">
        <f>Ventas!F14</f>
        <v>1000</v>
      </c>
      <c r="G14" s="80">
        <f t="shared" ref="G14:G30" si="0">SUM(C14:F14)</f>
        <v>3400</v>
      </c>
      <c r="I14" s="146" t="s">
        <v>70</v>
      </c>
      <c r="J14" s="151">
        <f t="shared" ref="J14:J25" si="1">+C14*$C$7</f>
        <v>150000000</v>
      </c>
      <c r="K14" s="151">
        <f t="shared" ref="K14:K25" si="2">+D14*$C$8</f>
        <v>136000000</v>
      </c>
      <c r="L14" s="151">
        <f t="shared" ref="L14:L25" si="3">+E14*$C$9</f>
        <v>72000000</v>
      </c>
      <c r="M14" s="151">
        <f t="shared" ref="M14:M25" si="4">+F14*$C$10</f>
        <v>110000000</v>
      </c>
      <c r="N14" s="151">
        <f t="shared" ref="N14:N30" si="5">SUM(J14:M14)</f>
        <v>468000000</v>
      </c>
    </row>
    <row r="15" spans="2:15">
      <c r="B15" s="146" t="s">
        <v>71</v>
      </c>
      <c r="C15" s="80">
        <f>Ventas!C15</f>
        <v>800</v>
      </c>
      <c r="D15" s="80">
        <f>Ventas!D15</f>
        <v>700</v>
      </c>
      <c r="E15" s="80">
        <f>Ventas!E15</f>
        <v>500</v>
      </c>
      <c r="F15" s="80">
        <f>Ventas!F15</f>
        <v>200</v>
      </c>
      <c r="G15" s="80">
        <f t="shared" si="0"/>
        <v>2200</v>
      </c>
      <c r="I15" s="146" t="s">
        <v>71</v>
      </c>
      <c r="J15" s="151">
        <f t="shared" si="1"/>
        <v>120000000</v>
      </c>
      <c r="K15" s="151">
        <f t="shared" si="2"/>
        <v>119000000</v>
      </c>
      <c r="L15" s="151">
        <f t="shared" si="3"/>
        <v>60000000</v>
      </c>
      <c r="M15" s="151">
        <f t="shared" si="4"/>
        <v>22000000</v>
      </c>
      <c r="N15" s="151">
        <f t="shared" si="5"/>
        <v>321000000</v>
      </c>
    </row>
    <row r="16" spans="2:15">
      <c r="B16" s="146" t="s">
        <v>72</v>
      </c>
      <c r="C16" s="80">
        <f>Ventas!C16</f>
        <v>700</v>
      </c>
      <c r="D16" s="80">
        <f>Ventas!D16</f>
        <v>600</v>
      </c>
      <c r="E16" s="80">
        <f>Ventas!E16</f>
        <v>400</v>
      </c>
      <c r="F16" s="80">
        <f>Ventas!F16</f>
        <v>100</v>
      </c>
      <c r="G16" s="80">
        <f t="shared" si="0"/>
        <v>1800</v>
      </c>
      <c r="I16" s="146" t="s">
        <v>72</v>
      </c>
      <c r="J16" s="151">
        <f t="shared" si="1"/>
        <v>105000000</v>
      </c>
      <c r="K16" s="151">
        <f t="shared" si="2"/>
        <v>102000000</v>
      </c>
      <c r="L16" s="151">
        <f t="shared" si="3"/>
        <v>48000000</v>
      </c>
      <c r="M16" s="151">
        <f t="shared" si="4"/>
        <v>11000000</v>
      </c>
      <c r="N16" s="151">
        <f t="shared" si="5"/>
        <v>266000000</v>
      </c>
    </row>
    <row r="17" spans="2:15">
      <c r="B17" s="146" t="s">
        <v>73</v>
      </c>
      <c r="C17" s="80">
        <f>Ventas!C17</f>
        <v>600</v>
      </c>
      <c r="D17" s="80">
        <f>Ventas!D17</f>
        <v>500</v>
      </c>
      <c r="E17" s="80">
        <f>Ventas!E17</f>
        <v>700</v>
      </c>
      <c r="F17" s="80">
        <f>Ventas!F17</f>
        <v>3000</v>
      </c>
      <c r="G17" s="80">
        <f t="shared" si="0"/>
        <v>4800</v>
      </c>
      <c r="I17" s="146" t="s">
        <v>73</v>
      </c>
      <c r="J17" s="151">
        <f t="shared" si="1"/>
        <v>90000000</v>
      </c>
      <c r="K17" s="151">
        <f t="shared" si="2"/>
        <v>85000000</v>
      </c>
      <c r="L17" s="151">
        <f t="shared" si="3"/>
        <v>84000000</v>
      </c>
      <c r="M17" s="151">
        <f t="shared" si="4"/>
        <v>330000000</v>
      </c>
      <c r="N17" s="151">
        <f t="shared" si="5"/>
        <v>589000000</v>
      </c>
    </row>
    <row r="18" spans="2:15">
      <c r="B18" s="146" t="s">
        <v>74</v>
      </c>
      <c r="C18" s="80">
        <f>Ventas!C18</f>
        <v>500</v>
      </c>
      <c r="D18" s="80">
        <f>Ventas!D18</f>
        <v>400</v>
      </c>
      <c r="E18" s="80">
        <f>Ventas!E18</f>
        <v>200</v>
      </c>
      <c r="F18" s="80">
        <f>Ventas!F18</f>
        <v>1500</v>
      </c>
      <c r="G18" s="80">
        <f t="shared" si="0"/>
        <v>2600</v>
      </c>
      <c r="I18" s="146" t="s">
        <v>74</v>
      </c>
      <c r="J18" s="151">
        <f t="shared" si="1"/>
        <v>75000000</v>
      </c>
      <c r="K18" s="151">
        <f t="shared" si="2"/>
        <v>68000000</v>
      </c>
      <c r="L18" s="151">
        <f t="shared" si="3"/>
        <v>24000000</v>
      </c>
      <c r="M18" s="151">
        <f t="shared" si="4"/>
        <v>165000000</v>
      </c>
      <c r="N18" s="151">
        <f t="shared" si="5"/>
        <v>332000000</v>
      </c>
    </row>
    <row r="19" spans="2:15">
      <c r="B19" s="146" t="s">
        <v>75</v>
      </c>
      <c r="C19" s="80">
        <f>Ventas!C19</f>
        <v>1000</v>
      </c>
      <c r="D19" s="80">
        <f>Ventas!D19</f>
        <v>300</v>
      </c>
      <c r="E19" s="80">
        <f>Ventas!E19</f>
        <v>500</v>
      </c>
      <c r="F19" s="80">
        <f>Ventas!F19</f>
        <v>1800</v>
      </c>
      <c r="G19" s="80">
        <f t="shared" si="0"/>
        <v>3600</v>
      </c>
      <c r="I19" s="146" t="s">
        <v>75</v>
      </c>
      <c r="J19" s="151">
        <f t="shared" si="1"/>
        <v>150000000</v>
      </c>
      <c r="K19" s="151">
        <f t="shared" si="2"/>
        <v>51000000</v>
      </c>
      <c r="L19" s="151">
        <f t="shared" si="3"/>
        <v>60000000</v>
      </c>
      <c r="M19" s="151">
        <f t="shared" si="4"/>
        <v>198000000</v>
      </c>
      <c r="N19" s="151">
        <f t="shared" si="5"/>
        <v>459000000</v>
      </c>
    </row>
    <row r="20" spans="2:15">
      <c r="B20" s="146" t="s">
        <v>76</v>
      </c>
      <c r="C20" s="80">
        <f>Ventas!C20</f>
        <v>600</v>
      </c>
      <c r="D20" s="80">
        <f>Ventas!D20</f>
        <v>200</v>
      </c>
      <c r="E20" s="80">
        <f>Ventas!E20</f>
        <v>900</v>
      </c>
      <c r="F20" s="80">
        <f>Ventas!F20</f>
        <v>1200</v>
      </c>
      <c r="G20" s="80">
        <f t="shared" si="0"/>
        <v>2900</v>
      </c>
      <c r="I20" s="146" t="s">
        <v>76</v>
      </c>
      <c r="J20" s="151">
        <f t="shared" si="1"/>
        <v>90000000</v>
      </c>
      <c r="K20" s="151">
        <f t="shared" si="2"/>
        <v>34000000</v>
      </c>
      <c r="L20" s="151">
        <f t="shared" si="3"/>
        <v>108000000</v>
      </c>
      <c r="M20" s="151">
        <f t="shared" si="4"/>
        <v>132000000</v>
      </c>
      <c r="N20" s="151">
        <f t="shared" si="5"/>
        <v>364000000</v>
      </c>
    </row>
    <row r="21" spans="2:15">
      <c r="B21" s="146" t="s">
        <v>77</v>
      </c>
      <c r="C21" s="80">
        <f>Ventas!C21</f>
        <v>500</v>
      </c>
      <c r="D21" s="80">
        <f>Ventas!D21</f>
        <v>100</v>
      </c>
      <c r="E21" s="80">
        <f>Ventas!E21</f>
        <v>800</v>
      </c>
      <c r="F21" s="80">
        <f>Ventas!F21</f>
        <v>2000</v>
      </c>
      <c r="G21" s="80">
        <f t="shared" si="0"/>
        <v>3400</v>
      </c>
      <c r="I21" s="146" t="s">
        <v>77</v>
      </c>
      <c r="J21" s="151">
        <f t="shared" si="1"/>
        <v>75000000</v>
      </c>
      <c r="K21" s="151">
        <f t="shared" si="2"/>
        <v>17000000</v>
      </c>
      <c r="L21" s="151">
        <f t="shared" si="3"/>
        <v>96000000</v>
      </c>
      <c r="M21" s="151">
        <f t="shared" si="4"/>
        <v>220000000</v>
      </c>
      <c r="N21" s="151">
        <f t="shared" si="5"/>
        <v>408000000</v>
      </c>
    </row>
    <row r="22" spans="2:15">
      <c r="B22" s="146" t="s">
        <v>78</v>
      </c>
      <c r="C22" s="80">
        <f>Ventas!C22</f>
        <v>400</v>
      </c>
      <c r="D22" s="80">
        <f>Ventas!D22</f>
        <v>120</v>
      </c>
      <c r="E22" s="80">
        <f>Ventas!E22</f>
        <v>700</v>
      </c>
      <c r="F22" s="80">
        <f>Ventas!F22</f>
        <v>1500</v>
      </c>
      <c r="G22" s="80">
        <f t="shared" si="0"/>
        <v>2720</v>
      </c>
      <c r="I22" s="146" t="s">
        <v>78</v>
      </c>
      <c r="J22" s="151">
        <f t="shared" si="1"/>
        <v>60000000</v>
      </c>
      <c r="K22" s="151">
        <f t="shared" si="2"/>
        <v>20400000</v>
      </c>
      <c r="L22" s="151">
        <f t="shared" si="3"/>
        <v>84000000</v>
      </c>
      <c r="M22" s="151">
        <f t="shared" si="4"/>
        <v>165000000</v>
      </c>
      <c r="N22" s="151">
        <f t="shared" si="5"/>
        <v>329400000</v>
      </c>
    </row>
    <row r="23" spans="2:15">
      <c r="B23" s="146" t="s">
        <v>79</v>
      </c>
      <c r="C23" s="80">
        <f>Ventas!C23</f>
        <v>300</v>
      </c>
      <c r="D23" s="80">
        <f>Ventas!D23</f>
        <v>140</v>
      </c>
      <c r="E23" s="80">
        <f>Ventas!E23</f>
        <v>600</v>
      </c>
      <c r="F23" s="80">
        <f>Ventas!F23</f>
        <v>1300</v>
      </c>
      <c r="G23" s="80">
        <f t="shared" si="0"/>
        <v>2340</v>
      </c>
      <c r="I23" s="146" t="s">
        <v>79</v>
      </c>
      <c r="J23" s="151">
        <f t="shared" si="1"/>
        <v>45000000</v>
      </c>
      <c r="K23" s="151">
        <f t="shared" si="2"/>
        <v>23800000</v>
      </c>
      <c r="L23" s="151">
        <f t="shared" si="3"/>
        <v>72000000</v>
      </c>
      <c r="M23" s="151">
        <f t="shared" si="4"/>
        <v>143000000</v>
      </c>
      <c r="N23" s="151">
        <f t="shared" si="5"/>
        <v>283800000</v>
      </c>
    </row>
    <row r="24" spans="2:15">
      <c r="B24" s="146" t="s">
        <v>80</v>
      </c>
      <c r="C24" s="80">
        <f>Ventas!C24</f>
        <v>200</v>
      </c>
      <c r="D24" s="80">
        <f>Ventas!D24</f>
        <v>150</v>
      </c>
      <c r="E24" s="80">
        <f>Ventas!E24</f>
        <v>500</v>
      </c>
      <c r="F24" s="80">
        <f>Ventas!F24</f>
        <v>1200</v>
      </c>
      <c r="G24" s="80">
        <f t="shared" si="0"/>
        <v>2050</v>
      </c>
      <c r="I24" s="146" t="s">
        <v>80</v>
      </c>
      <c r="J24" s="151">
        <f t="shared" si="1"/>
        <v>30000000</v>
      </c>
      <c r="K24" s="151">
        <f t="shared" si="2"/>
        <v>25500000</v>
      </c>
      <c r="L24" s="151">
        <f t="shared" si="3"/>
        <v>60000000</v>
      </c>
      <c r="M24" s="151">
        <f t="shared" si="4"/>
        <v>132000000</v>
      </c>
      <c r="N24" s="151">
        <f t="shared" si="5"/>
        <v>247500000</v>
      </c>
    </row>
    <row r="25" spans="2:15">
      <c r="B25" s="146" t="s">
        <v>81</v>
      </c>
      <c r="C25" s="80">
        <f>Ventas!C25</f>
        <v>1000</v>
      </c>
      <c r="D25" s="80">
        <f>Ventas!D25</f>
        <v>110</v>
      </c>
      <c r="E25" s="80">
        <f>Ventas!E25</f>
        <v>400</v>
      </c>
      <c r="F25" s="80">
        <f>Ventas!F25</f>
        <v>1100</v>
      </c>
      <c r="G25" s="80">
        <f t="shared" si="0"/>
        <v>2610</v>
      </c>
      <c r="I25" s="146" t="s">
        <v>81</v>
      </c>
      <c r="J25" s="151">
        <f t="shared" si="1"/>
        <v>150000000</v>
      </c>
      <c r="K25" s="151">
        <f t="shared" si="2"/>
        <v>18700000</v>
      </c>
      <c r="L25" s="151">
        <f t="shared" si="3"/>
        <v>48000000</v>
      </c>
      <c r="M25" s="151">
        <f t="shared" si="4"/>
        <v>121000000</v>
      </c>
      <c r="N25" s="151">
        <f t="shared" si="5"/>
        <v>337700000</v>
      </c>
    </row>
    <row r="26" spans="2:15">
      <c r="B26" s="137" t="s">
        <v>82</v>
      </c>
      <c r="C26" s="148">
        <f>SUM(C14:C25)</f>
        <v>7600</v>
      </c>
      <c r="D26" s="148">
        <f>SUM(D14:D25)</f>
        <v>4120</v>
      </c>
      <c r="E26" s="148">
        <f>SUM(E14:E25)</f>
        <v>6800</v>
      </c>
      <c r="F26" s="148">
        <f>SUM(F14:F25)</f>
        <v>15900</v>
      </c>
      <c r="G26" s="148">
        <f t="shared" si="0"/>
        <v>34420</v>
      </c>
      <c r="I26" s="137" t="s">
        <v>82</v>
      </c>
      <c r="J26" s="152">
        <f>SUM(J14:J25)</f>
        <v>1140000000</v>
      </c>
      <c r="K26" s="152">
        <f>SUM(K14:K25)</f>
        <v>700400000</v>
      </c>
      <c r="L26" s="152">
        <f>SUM(L14:L25)</f>
        <v>816000000</v>
      </c>
      <c r="M26" s="152">
        <f>SUM(M14:M25)</f>
        <v>1749000000</v>
      </c>
      <c r="N26" s="188">
        <f t="shared" si="5"/>
        <v>4405400000</v>
      </c>
      <c r="O26" s="100" t="s">
        <v>146</v>
      </c>
    </row>
    <row r="27" spans="2:15">
      <c r="B27" s="137" t="s">
        <v>83</v>
      </c>
      <c r="C27" s="149">
        <f>+C26*(1+$H$9)</f>
        <v>7980</v>
      </c>
      <c r="D27" s="149">
        <f t="shared" ref="D27:F27" si="6">+D26*(1+$H$9)</f>
        <v>4326</v>
      </c>
      <c r="E27" s="149">
        <f t="shared" si="6"/>
        <v>7140</v>
      </c>
      <c r="F27" s="149">
        <f t="shared" si="6"/>
        <v>16695</v>
      </c>
      <c r="G27" s="148">
        <f t="shared" si="0"/>
        <v>36141</v>
      </c>
      <c r="I27" s="137" t="s">
        <v>83</v>
      </c>
      <c r="J27" s="152">
        <f>+J26*(1+$H$9)</f>
        <v>1197000000</v>
      </c>
      <c r="K27" s="152">
        <f>+K26*(1+$H$9)</f>
        <v>735420000</v>
      </c>
      <c r="L27" s="152">
        <f>+L26*(1+$H$9)</f>
        <v>856800000</v>
      </c>
      <c r="M27" s="152">
        <f>+M26*(1+$H$9)</f>
        <v>1836450000</v>
      </c>
      <c r="N27" s="152">
        <f t="shared" si="5"/>
        <v>4625670000</v>
      </c>
    </row>
    <row r="28" spans="2:15">
      <c r="B28" s="137" t="s">
        <v>84</v>
      </c>
      <c r="C28" s="148">
        <f>+C27*(1+$H$10)</f>
        <v>8315.16</v>
      </c>
      <c r="D28" s="148">
        <f t="shared" ref="D28:F28" si="7">+D27*(1+$H$10)</f>
        <v>4507.692</v>
      </c>
      <c r="E28" s="148">
        <f t="shared" si="7"/>
        <v>7439.88</v>
      </c>
      <c r="F28" s="148">
        <f t="shared" si="7"/>
        <v>17396.190000000002</v>
      </c>
      <c r="G28" s="148">
        <f t="shared" si="0"/>
        <v>37658.922000000006</v>
      </c>
      <c r="I28" s="137" t="s">
        <v>84</v>
      </c>
      <c r="J28" s="152">
        <f t="shared" ref="J28:M30" si="8">+J27*(1+$H$10)</f>
        <v>1247274000</v>
      </c>
      <c r="K28" s="152">
        <f t="shared" si="8"/>
        <v>766307640</v>
      </c>
      <c r="L28" s="152">
        <f t="shared" si="8"/>
        <v>892785600</v>
      </c>
      <c r="M28" s="152">
        <f t="shared" si="8"/>
        <v>1913580900</v>
      </c>
      <c r="N28" s="152">
        <f t="shared" si="5"/>
        <v>4819948140</v>
      </c>
    </row>
    <row r="29" spans="2:15">
      <c r="B29" s="137" t="s">
        <v>113</v>
      </c>
      <c r="C29" s="148">
        <f t="shared" ref="C29:C30" si="9">+C28*(1+$H$10)</f>
        <v>8664.3967200000006</v>
      </c>
      <c r="D29" s="148">
        <f t="shared" ref="D29:D30" si="10">+D28*(1+$H$10)</f>
        <v>4697.0150640000002</v>
      </c>
      <c r="E29" s="148">
        <f t="shared" ref="E29:E30" si="11">+E28*(1+$H$10)</f>
        <v>7752.3549600000006</v>
      </c>
      <c r="F29" s="148">
        <f t="shared" ref="F29:F30" si="12">+F28*(1+$H$10)</f>
        <v>18126.829980000002</v>
      </c>
      <c r="G29" s="148">
        <f t="shared" si="0"/>
        <v>39240.596724000003</v>
      </c>
      <c r="I29" s="137" t="s">
        <v>113</v>
      </c>
      <c r="J29" s="152">
        <f t="shared" si="8"/>
        <v>1299659508</v>
      </c>
      <c r="K29" s="152">
        <f t="shared" si="8"/>
        <v>798492560.88</v>
      </c>
      <c r="L29" s="152">
        <f t="shared" si="8"/>
        <v>930282595.20000005</v>
      </c>
      <c r="M29" s="152">
        <f t="shared" si="8"/>
        <v>1993951297.8</v>
      </c>
      <c r="N29" s="152">
        <f t="shared" si="5"/>
        <v>5022385961.8800001</v>
      </c>
    </row>
    <row r="30" spans="2:15">
      <c r="B30" s="137" t="s">
        <v>114</v>
      </c>
      <c r="C30" s="148">
        <f t="shared" si="9"/>
        <v>9028.3013822400007</v>
      </c>
      <c r="D30" s="148">
        <f t="shared" si="10"/>
        <v>4894.2896966880007</v>
      </c>
      <c r="E30" s="148">
        <f t="shared" si="11"/>
        <v>8077.9538683200008</v>
      </c>
      <c r="F30" s="148">
        <f t="shared" si="12"/>
        <v>18888.156839160001</v>
      </c>
      <c r="G30" s="148">
        <f t="shared" si="0"/>
        <v>40888.701786408004</v>
      </c>
      <c r="I30" s="137" t="s">
        <v>114</v>
      </c>
      <c r="J30" s="152">
        <f t="shared" si="8"/>
        <v>1354245207.336</v>
      </c>
      <c r="K30" s="152">
        <f t="shared" si="8"/>
        <v>832029248.43695998</v>
      </c>
      <c r="L30" s="152">
        <f t="shared" si="8"/>
        <v>969354464.19840014</v>
      </c>
      <c r="M30" s="152">
        <f t="shared" si="8"/>
        <v>2077697252.3076</v>
      </c>
      <c r="N30" s="152">
        <f t="shared" si="5"/>
        <v>5233326172.2789593</v>
      </c>
    </row>
    <row r="33" spans="2:5">
      <c r="B33" s="1" t="s">
        <v>189</v>
      </c>
    </row>
    <row r="35" spans="2:5">
      <c r="B35" s="1" t="s">
        <v>190</v>
      </c>
    </row>
    <row r="36" spans="2:5">
      <c r="C36" s="225" t="s">
        <v>192</v>
      </c>
      <c r="D36" s="225" t="s">
        <v>193</v>
      </c>
      <c r="E36" s="42" t="s">
        <v>194</v>
      </c>
    </row>
    <row r="37" spans="2:5">
      <c r="B37" s="1" t="s">
        <v>260</v>
      </c>
      <c r="C37" s="235">
        <f>AVERAGE(Ventas!C7:C10)</f>
        <v>137500</v>
      </c>
      <c r="D37" s="235">
        <f>C37*(1+'Estado de Resultados'!M4)</f>
        <v>148500</v>
      </c>
      <c r="E37" s="235">
        <f>D37*(1+'Estado de Resultados'!M4)</f>
        <v>160380</v>
      </c>
    </row>
    <row r="38" spans="2:5">
      <c r="B38" s="1" t="s">
        <v>261</v>
      </c>
      <c r="C38" s="235">
        <f>AVERAGE('Costos Variables'!G7:G10)</f>
        <v>39275</v>
      </c>
      <c r="D38" s="239">
        <f>C38*(1+'Estado de Resultados'!M4)</f>
        <v>42417</v>
      </c>
      <c r="E38" s="239">
        <f>D38*(1+'Estado de Resultados'!M4)</f>
        <v>45810.36</v>
      </c>
    </row>
    <row r="39" spans="2:5">
      <c r="B39" s="1" t="s">
        <v>264</v>
      </c>
      <c r="C39" s="239">
        <f>C37-C38</f>
        <v>98225</v>
      </c>
      <c r="D39" s="239">
        <f>D37-D38</f>
        <v>106083</v>
      </c>
      <c r="E39" s="239">
        <f>E37-E38</f>
        <v>114569.64</v>
      </c>
    </row>
    <row r="41" spans="2:5">
      <c r="C41" s="225" t="s">
        <v>192</v>
      </c>
      <c r="D41" s="225" t="s">
        <v>193</v>
      </c>
      <c r="E41" s="42" t="s">
        <v>194</v>
      </c>
    </row>
    <row r="42" spans="2:5">
      <c r="B42" s="1" t="s">
        <v>265</v>
      </c>
      <c r="C42" s="33">
        <f>Ventas!G26</f>
        <v>34420</v>
      </c>
      <c r="D42" s="33">
        <f>Ventas!G27</f>
        <v>36141</v>
      </c>
      <c r="E42" s="33">
        <f>Ventas!G28</f>
        <v>37658.922000000006</v>
      </c>
    </row>
    <row r="43" spans="2:5">
      <c r="B43" s="1" t="s">
        <v>266</v>
      </c>
      <c r="C43" s="239">
        <f>C45/C37</f>
        <v>1341.4973672727272</v>
      </c>
      <c r="D43" s="239">
        <f>D45/D37</f>
        <v>1371.3694211447812</v>
      </c>
      <c r="E43" s="239">
        <f>E45/E37</f>
        <v>1392.3196643172466</v>
      </c>
    </row>
    <row r="45" spans="2:5">
      <c r="B45" s="1" t="s">
        <v>191</v>
      </c>
      <c r="C45" s="235">
        <f>SUM('Estado de Resultados'!F9:F16)</f>
        <v>184455888</v>
      </c>
      <c r="D45" s="235">
        <f>SUM('Estado de Resultados'!G9:G16)</f>
        <v>203648359.04000002</v>
      </c>
      <c r="E45" s="235">
        <f>SUM('Estado de Resultados'!H9:H16)</f>
        <v>223300227.76320001</v>
      </c>
    </row>
    <row r="66" spans="2:9" ht="24" thickBot="1">
      <c r="B66" s="279" t="s">
        <v>307</v>
      </c>
      <c r="C66" s="279"/>
      <c r="D66" s="279"/>
      <c r="E66" s="279"/>
      <c r="F66" s="279"/>
      <c r="G66" s="279"/>
      <c r="H66" s="279"/>
      <c r="I66" s="279"/>
    </row>
    <row r="67" spans="2:9" ht="67.05" customHeight="1" thickBot="1">
      <c r="B67" s="291" t="s">
        <v>319</v>
      </c>
      <c r="C67" s="292"/>
      <c r="D67" s="292"/>
      <c r="E67" s="292"/>
      <c r="F67" s="292"/>
      <c r="G67" s="292"/>
      <c r="H67" s="292"/>
      <c r="I67" s="293"/>
    </row>
    <row r="68" spans="2:9" ht="139.05000000000001" customHeight="1" thickBot="1">
      <c r="B68" s="283"/>
      <c r="C68" s="284"/>
      <c r="D68" s="284"/>
      <c r="E68" s="284"/>
      <c r="F68" s="284"/>
      <c r="G68" s="284"/>
      <c r="H68" s="284"/>
      <c r="I68" s="285"/>
    </row>
  </sheetData>
  <protectedRanges>
    <protectedRange sqref="B7:C10" name="Productos"/>
    <protectedRange sqref="H9:H10" name="Rango2"/>
    <protectedRange sqref="C14:F25" name="Rango3"/>
  </protectedRanges>
  <mergeCells count="10">
    <mergeCell ref="E2:I2"/>
    <mergeCell ref="B5:C5"/>
    <mergeCell ref="E8:G8"/>
    <mergeCell ref="E9:G9"/>
    <mergeCell ref="B68:I68"/>
    <mergeCell ref="B66:I66"/>
    <mergeCell ref="B67:I67"/>
    <mergeCell ref="E10:G10"/>
    <mergeCell ref="B12:G12"/>
    <mergeCell ref="I12:N12"/>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tabColor rgb="FF92D050"/>
  </sheetPr>
  <dimension ref="B2:R56"/>
  <sheetViews>
    <sheetView topLeftCell="A13" zoomScale="115" zoomScaleNormal="115" workbookViewId="0">
      <selection activeCell="B56" sqref="B54:I56"/>
    </sheetView>
  </sheetViews>
  <sheetFormatPr baseColWidth="10" defaultRowHeight="13.8"/>
  <cols>
    <col min="1" max="1" width="2.44140625" style="1" customWidth="1"/>
    <col min="2" max="2" width="23.6640625" style="1" customWidth="1"/>
    <col min="3" max="3" width="17.44140625" style="1" customWidth="1"/>
    <col min="4" max="4" width="16.44140625" style="1" customWidth="1"/>
    <col min="5" max="5" width="14.44140625" style="1" customWidth="1"/>
    <col min="6" max="6" width="16.109375" style="1" customWidth="1"/>
    <col min="7" max="7" width="13.44140625" style="1" customWidth="1"/>
    <col min="8" max="9" width="11.44140625" style="1"/>
    <col min="10" max="10" width="15.44140625" style="1" customWidth="1"/>
    <col min="11" max="11" width="17.33203125" style="1" customWidth="1"/>
    <col min="12" max="12" width="16" style="1" customWidth="1"/>
    <col min="13" max="14" width="15.44140625" style="1" bestFit="1" customWidth="1"/>
    <col min="15" max="15" width="11.44140625" style="1"/>
    <col min="16" max="16" width="12.44140625" style="1" bestFit="1" customWidth="1"/>
    <col min="17" max="257" width="11.44140625" style="1"/>
    <col min="258" max="258" width="14.77734375" style="1" customWidth="1"/>
    <col min="259" max="513" width="11.44140625" style="1"/>
    <col min="514" max="514" width="14.77734375" style="1" customWidth="1"/>
    <col min="515" max="769" width="11.44140625" style="1"/>
    <col min="770" max="770" width="14.77734375" style="1" customWidth="1"/>
    <col min="771" max="1025" width="11.44140625" style="1"/>
    <col min="1026" max="1026" width="14.77734375" style="1" customWidth="1"/>
    <col min="1027" max="1281" width="11.44140625" style="1"/>
    <col min="1282" max="1282" width="14.77734375" style="1" customWidth="1"/>
    <col min="1283" max="1537" width="11.44140625" style="1"/>
    <col min="1538" max="1538" width="14.77734375" style="1" customWidth="1"/>
    <col min="1539" max="1793" width="11.44140625" style="1"/>
    <col min="1794" max="1794" width="14.77734375" style="1" customWidth="1"/>
    <col min="1795" max="2049" width="11.44140625" style="1"/>
    <col min="2050" max="2050" width="14.77734375" style="1" customWidth="1"/>
    <col min="2051" max="2305" width="11.44140625" style="1"/>
    <col min="2306" max="2306" width="14.77734375" style="1" customWidth="1"/>
    <col min="2307" max="2561" width="11.44140625" style="1"/>
    <col min="2562" max="2562" width="14.77734375" style="1" customWidth="1"/>
    <col min="2563" max="2817" width="11.44140625" style="1"/>
    <col min="2818" max="2818" width="14.77734375" style="1" customWidth="1"/>
    <col min="2819" max="3073" width="11.44140625" style="1"/>
    <col min="3074" max="3074" width="14.77734375" style="1" customWidth="1"/>
    <col min="3075" max="3329" width="11.44140625" style="1"/>
    <col min="3330" max="3330" width="14.77734375" style="1" customWidth="1"/>
    <col min="3331" max="3585" width="11.44140625" style="1"/>
    <col min="3586" max="3586" width="14.77734375" style="1" customWidth="1"/>
    <col min="3587" max="3841" width="11.44140625" style="1"/>
    <col min="3842" max="3842" width="14.77734375" style="1" customWidth="1"/>
    <col min="3843" max="4097" width="11.44140625" style="1"/>
    <col min="4098" max="4098" width="14.77734375" style="1" customWidth="1"/>
    <col min="4099" max="4353" width="11.44140625" style="1"/>
    <col min="4354" max="4354" width="14.77734375" style="1" customWidth="1"/>
    <col min="4355" max="4609" width="11.44140625" style="1"/>
    <col min="4610" max="4610" width="14.77734375" style="1" customWidth="1"/>
    <col min="4611" max="4865" width="11.44140625" style="1"/>
    <col min="4866" max="4866" width="14.77734375" style="1" customWidth="1"/>
    <col min="4867" max="5121" width="11.44140625" style="1"/>
    <col min="5122" max="5122" width="14.77734375" style="1" customWidth="1"/>
    <col min="5123" max="5377" width="11.44140625" style="1"/>
    <col min="5378" max="5378" width="14.77734375" style="1" customWidth="1"/>
    <col min="5379" max="5633" width="11.44140625" style="1"/>
    <col min="5634" max="5634" width="14.77734375" style="1" customWidth="1"/>
    <col min="5635" max="5889" width="11.44140625" style="1"/>
    <col min="5890" max="5890" width="14.77734375" style="1" customWidth="1"/>
    <col min="5891" max="6145" width="11.44140625" style="1"/>
    <col min="6146" max="6146" width="14.77734375" style="1" customWidth="1"/>
    <col min="6147" max="6401" width="11.44140625" style="1"/>
    <col min="6402" max="6402" width="14.77734375" style="1" customWidth="1"/>
    <col min="6403" max="6657" width="11.44140625" style="1"/>
    <col min="6658" max="6658" width="14.77734375" style="1" customWidth="1"/>
    <col min="6659" max="6913" width="11.44140625" style="1"/>
    <col min="6914" max="6914" width="14.77734375" style="1" customWidth="1"/>
    <col min="6915" max="7169" width="11.44140625" style="1"/>
    <col min="7170" max="7170" width="14.77734375" style="1" customWidth="1"/>
    <col min="7171" max="7425" width="11.44140625" style="1"/>
    <col min="7426" max="7426" width="14.77734375" style="1" customWidth="1"/>
    <col min="7427" max="7681" width="11.44140625" style="1"/>
    <col min="7682" max="7682" width="14.77734375" style="1" customWidth="1"/>
    <col min="7683" max="7937" width="11.44140625" style="1"/>
    <col min="7938" max="7938" width="14.77734375" style="1" customWidth="1"/>
    <col min="7939" max="8193" width="11.44140625" style="1"/>
    <col min="8194" max="8194" width="14.77734375" style="1" customWidth="1"/>
    <col min="8195" max="8449" width="11.44140625" style="1"/>
    <col min="8450" max="8450" width="14.77734375" style="1" customWidth="1"/>
    <col min="8451" max="8705" width="11.44140625" style="1"/>
    <col min="8706" max="8706" width="14.77734375" style="1" customWidth="1"/>
    <col min="8707" max="8961" width="11.44140625" style="1"/>
    <col min="8962" max="8962" width="14.77734375" style="1" customWidth="1"/>
    <col min="8963" max="9217" width="11.44140625" style="1"/>
    <col min="9218" max="9218" width="14.77734375" style="1" customWidth="1"/>
    <col min="9219" max="9473" width="11.44140625" style="1"/>
    <col min="9474" max="9474" width="14.77734375" style="1" customWidth="1"/>
    <col min="9475" max="9729" width="11.44140625" style="1"/>
    <col min="9730" max="9730" width="14.77734375" style="1" customWidth="1"/>
    <col min="9731" max="9985" width="11.44140625" style="1"/>
    <col min="9986" max="9986" width="14.77734375" style="1" customWidth="1"/>
    <col min="9987" max="10241" width="11.44140625" style="1"/>
    <col min="10242" max="10242" width="14.77734375" style="1" customWidth="1"/>
    <col min="10243" max="10497" width="11.44140625" style="1"/>
    <col min="10498" max="10498" width="14.77734375" style="1" customWidth="1"/>
    <col min="10499" max="10753" width="11.44140625" style="1"/>
    <col min="10754" max="10754" width="14.77734375" style="1" customWidth="1"/>
    <col min="10755" max="11009" width="11.44140625" style="1"/>
    <col min="11010" max="11010" width="14.77734375" style="1" customWidth="1"/>
    <col min="11011" max="11265" width="11.44140625" style="1"/>
    <col min="11266" max="11266" width="14.77734375" style="1" customWidth="1"/>
    <col min="11267" max="11521" width="11.44140625" style="1"/>
    <col min="11522" max="11522" width="14.77734375" style="1" customWidth="1"/>
    <col min="11523" max="11777" width="11.44140625" style="1"/>
    <col min="11778" max="11778" width="14.77734375" style="1" customWidth="1"/>
    <col min="11779" max="12033" width="11.44140625" style="1"/>
    <col min="12034" max="12034" width="14.77734375" style="1" customWidth="1"/>
    <col min="12035" max="12289" width="11.44140625" style="1"/>
    <col min="12290" max="12290" width="14.77734375" style="1" customWidth="1"/>
    <col min="12291" max="12545" width="11.44140625" style="1"/>
    <col min="12546" max="12546" width="14.77734375" style="1" customWidth="1"/>
    <col min="12547" max="12801" width="11.44140625" style="1"/>
    <col min="12802" max="12802" width="14.77734375" style="1" customWidth="1"/>
    <col min="12803" max="13057" width="11.44140625" style="1"/>
    <col min="13058" max="13058" width="14.77734375" style="1" customWidth="1"/>
    <col min="13059" max="13313" width="11.44140625" style="1"/>
    <col min="13314" max="13314" width="14.77734375" style="1" customWidth="1"/>
    <col min="13315" max="13569" width="11.44140625" style="1"/>
    <col min="13570" max="13570" width="14.77734375" style="1" customWidth="1"/>
    <col min="13571" max="13825" width="11.44140625" style="1"/>
    <col min="13826" max="13826" width="14.77734375" style="1" customWidth="1"/>
    <col min="13827" max="14081" width="11.44140625" style="1"/>
    <col min="14082" max="14082" width="14.77734375" style="1" customWidth="1"/>
    <col min="14083" max="14337" width="11.44140625" style="1"/>
    <col min="14338" max="14338" width="14.77734375" style="1" customWidth="1"/>
    <col min="14339" max="14593" width="11.44140625" style="1"/>
    <col min="14594" max="14594" width="14.77734375" style="1" customWidth="1"/>
    <col min="14595" max="14849" width="11.44140625" style="1"/>
    <col min="14850" max="14850" width="14.77734375" style="1" customWidth="1"/>
    <col min="14851" max="15105" width="11.44140625" style="1"/>
    <col min="15106" max="15106" width="14.77734375" style="1" customWidth="1"/>
    <col min="15107" max="15361" width="11.44140625" style="1"/>
    <col min="15362" max="15362" width="14.77734375" style="1" customWidth="1"/>
    <col min="15363" max="15617" width="11.44140625" style="1"/>
    <col min="15618" max="15618" width="14.77734375" style="1" customWidth="1"/>
    <col min="15619" max="15873" width="11.44140625" style="1"/>
    <col min="15874" max="15874" width="14.77734375" style="1" customWidth="1"/>
    <col min="15875" max="16129" width="11.44140625" style="1"/>
    <col min="16130" max="16130" width="14.77734375" style="1" customWidth="1"/>
    <col min="16131" max="16384" width="11.44140625" style="1"/>
  </cols>
  <sheetData>
    <row r="2" spans="2:15" ht="18">
      <c r="E2" s="300" t="s">
        <v>147</v>
      </c>
      <c r="F2" s="300"/>
      <c r="G2" s="300"/>
      <c r="H2" s="300"/>
      <c r="I2" s="300"/>
    </row>
    <row r="4" spans="2:15">
      <c r="E4" s="27"/>
      <c r="O4" s="94"/>
    </row>
    <row r="5" spans="2:15" ht="15.6">
      <c r="B5" s="317" t="s">
        <v>63</v>
      </c>
      <c r="C5" s="317"/>
      <c r="D5" s="40"/>
      <c r="E5" s="40"/>
      <c r="F5" s="40"/>
      <c r="G5" s="40"/>
      <c r="H5" s="40"/>
      <c r="I5" s="40"/>
    </row>
    <row r="6" spans="2:15">
      <c r="B6" s="150" t="s">
        <v>64</v>
      </c>
      <c r="C6" s="150" t="s">
        <v>65</v>
      </c>
      <c r="F6" s="40"/>
      <c r="G6" s="40"/>
      <c r="H6" s="40"/>
      <c r="I6" s="40"/>
    </row>
    <row r="7" spans="2:15">
      <c r="B7" s="137" t="str">
        <f>'Costos Variables'!B7</f>
        <v>Producto / Servicio 1</v>
      </c>
      <c r="C7" s="76">
        <v>150000</v>
      </c>
      <c r="F7" s="40"/>
      <c r="G7" s="40"/>
      <c r="H7" s="40"/>
      <c r="I7" s="40"/>
    </row>
    <row r="8" spans="2:15">
      <c r="B8" s="137" t="str">
        <f>'Costos Variables'!B8</f>
        <v>Producto / Servicio 2</v>
      </c>
      <c r="C8" s="76">
        <v>170000</v>
      </c>
      <c r="E8" s="318" t="s">
        <v>66</v>
      </c>
      <c r="F8" s="318"/>
      <c r="G8" s="318"/>
      <c r="H8" s="40"/>
      <c r="I8" s="40"/>
    </row>
    <row r="9" spans="2:15" ht="15" customHeight="1">
      <c r="B9" s="137" t="str">
        <f>'Costos Variables'!B9</f>
        <v>Producto / Servicio 3</v>
      </c>
      <c r="C9" s="76">
        <v>120000</v>
      </c>
      <c r="E9" s="316" t="s">
        <v>67</v>
      </c>
      <c r="F9" s="316"/>
      <c r="G9" s="316"/>
      <c r="H9" s="77">
        <v>0.05</v>
      </c>
      <c r="I9" s="40"/>
    </row>
    <row r="10" spans="2:15">
      <c r="B10" s="137" t="str">
        <f>'Costos Variables'!B10</f>
        <v>Producto / Servicio 4</v>
      </c>
      <c r="C10" s="76">
        <v>110000</v>
      </c>
      <c r="E10" s="316" t="s">
        <v>68</v>
      </c>
      <c r="F10" s="316"/>
      <c r="G10" s="316"/>
      <c r="H10" s="77">
        <v>4.2000000000000003E-2</v>
      </c>
      <c r="I10" s="40"/>
    </row>
    <row r="11" spans="2:15">
      <c r="I11" s="40"/>
    </row>
    <row r="12" spans="2:15" s="78" customFormat="1" ht="24" customHeight="1">
      <c r="B12" s="312" t="s">
        <v>69</v>
      </c>
      <c r="C12" s="312"/>
      <c r="D12" s="312"/>
      <c r="E12" s="312"/>
      <c r="F12" s="312"/>
      <c r="G12" s="312"/>
      <c r="I12" s="312" t="s">
        <v>99</v>
      </c>
      <c r="J12" s="312"/>
      <c r="K12" s="312"/>
      <c r="L12" s="312"/>
      <c r="M12" s="312"/>
      <c r="N12" s="312"/>
    </row>
    <row r="13" spans="2:15" ht="26.4">
      <c r="B13" s="147"/>
      <c r="C13" s="135" t="str">
        <f>+B7</f>
        <v>Producto / Servicio 1</v>
      </c>
      <c r="D13" s="135" t="str">
        <f>+B8</f>
        <v>Producto / Servicio 2</v>
      </c>
      <c r="E13" s="135" t="str">
        <f>+B9</f>
        <v>Producto / Servicio 3</v>
      </c>
      <c r="F13" s="135" t="str">
        <f>+B10</f>
        <v>Producto / Servicio 4</v>
      </c>
      <c r="G13" s="135" t="s">
        <v>6</v>
      </c>
      <c r="I13" s="147"/>
      <c r="J13" s="135" t="str">
        <f>+C13</f>
        <v>Producto / Servicio 1</v>
      </c>
      <c r="K13" s="135" t="str">
        <f>+D13</f>
        <v>Producto / Servicio 2</v>
      </c>
      <c r="L13" s="135" t="str">
        <f>+E13</f>
        <v>Producto / Servicio 3</v>
      </c>
      <c r="M13" s="135" t="str">
        <f>+F13</f>
        <v>Producto / Servicio 4</v>
      </c>
      <c r="N13" s="135" t="s">
        <v>6</v>
      </c>
    </row>
    <row r="14" spans="2:15">
      <c r="B14" s="146" t="s">
        <v>70</v>
      </c>
      <c r="C14" s="80">
        <v>1000</v>
      </c>
      <c r="D14" s="80">
        <v>800</v>
      </c>
      <c r="E14" s="80">
        <v>600</v>
      </c>
      <c r="F14" s="80">
        <v>1000</v>
      </c>
      <c r="G14" s="80">
        <f t="shared" ref="G14:G30" si="0">SUM(C14:F14)</f>
        <v>3400</v>
      </c>
      <c r="I14" s="137" t="s">
        <v>70</v>
      </c>
      <c r="J14" s="189">
        <f>+C14*$C$7</f>
        <v>150000000</v>
      </c>
      <c r="K14" s="189">
        <f t="shared" ref="K14:K25" si="1">+D14*$C$8</f>
        <v>136000000</v>
      </c>
      <c r="L14" s="189">
        <f t="shared" ref="L14:L25" si="2">+E14*$C$9</f>
        <v>72000000</v>
      </c>
      <c r="M14" s="189">
        <f t="shared" ref="M14:M25" si="3">+F14*$C$10</f>
        <v>110000000</v>
      </c>
      <c r="N14" s="189">
        <f t="shared" ref="N14:N30" si="4">SUM(J14:M14)</f>
        <v>468000000</v>
      </c>
    </row>
    <row r="15" spans="2:15">
      <c r="B15" s="146" t="s">
        <v>71</v>
      </c>
      <c r="C15" s="80">
        <v>800</v>
      </c>
      <c r="D15" s="80">
        <v>700</v>
      </c>
      <c r="E15" s="80">
        <v>500</v>
      </c>
      <c r="F15" s="80">
        <v>200</v>
      </c>
      <c r="G15" s="80">
        <f t="shared" si="0"/>
        <v>2200</v>
      </c>
      <c r="I15" s="137" t="s">
        <v>71</v>
      </c>
      <c r="J15" s="189">
        <f t="shared" ref="J15:J25" si="5">+C15*$C$7</f>
        <v>120000000</v>
      </c>
      <c r="K15" s="189">
        <f t="shared" si="1"/>
        <v>119000000</v>
      </c>
      <c r="L15" s="189">
        <f t="shared" si="2"/>
        <v>60000000</v>
      </c>
      <c r="M15" s="189">
        <f t="shared" si="3"/>
        <v>22000000</v>
      </c>
      <c r="N15" s="189">
        <f t="shared" si="4"/>
        <v>321000000</v>
      </c>
    </row>
    <row r="16" spans="2:15">
      <c r="B16" s="146" t="s">
        <v>72</v>
      </c>
      <c r="C16" s="80">
        <v>700</v>
      </c>
      <c r="D16" s="80">
        <v>600</v>
      </c>
      <c r="E16" s="80">
        <v>400</v>
      </c>
      <c r="F16" s="80">
        <v>100</v>
      </c>
      <c r="G16" s="80">
        <f t="shared" si="0"/>
        <v>1800</v>
      </c>
      <c r="I16" s="137" t="s">
        <v>72</v>
      </c>
      <c r="J16" s="189">
        <f t="shared" si="5"/>
        <v>105000000</v>
      </c>
      <c r="K16" s="189">
        <f t="shared" si="1"/>
        <v>102000000</v>
      </c>
      <c r="L16" s="189">
        <f t="shared" si="2"/>
        <v>48000000</v>
      </c>
      <c r="M16" s="189">
        <f t="shared" si="3"/>
        <v>11000000</v>
      </c>
      <c r="N16" s="189">
        <f t="shared" si="4"/>
        <v>266000000</v>
      </c>
    </row>
    <row r="17" spans="2:15">
      <c r="B17" s="146" t="s">
        <v>73</v>
      </c>
      <c r="C17" s="80">
        <v>600</v>
      </c>
      <c r="D17" s="80">
        <v>500</v>
      </c>
      <c r="E17" s="80">
        <v>700</v>
      </c>
      <c r="F17" s="80">
        <v>3000</v>
      </c>
      <c r="G17" s="80">
        <f t="shared" si="0"/>
        <v>4800</v>
      </c>
      <c r="I17" s="137" t="s">
        <v>73</v>
      </c>
      <c r="J17" s="189">
        <f t="shared" si="5"/>
        <v>90000000</v>
      </c>
      <c r="K17" s="189">
        <f t="shared" si="1"/>
        <v>85000000</v>
      </c>
      <c r="L17" s="189">
        <f t="shared" si="2"/>
        <v>84000000</v>
      </c>
      <c r="M17" s="189">
        <f t="shared" si="3"/>
        <v>330000000</v>
      </c>
      <c r="N17" s="189">
        <f t="shared" si="4"/>
        <v>589000000</v>
      </c>
    </row>
    <row r="18" spans="2:15">
      <c r="B18" s="146" t="s">
        <v>74</v>
      </c>
      <c r="C18" s="80">
        <v>500</v>
      </c>
      <c r="D18" s="80">
        <v>400</v>
      </c>
      <c r="E18" s="80">
        <v>200</v>
      </c>
      <c r="F18" s="80">
        <v>1500</v>
      </c>
      <c r="G18" s="80">
        <f t="shared" si="0"/>
        <v>2600</v>
      </c>
      <c r="I18" s="137" t="s">
        <v>74</v>
      </c>
      <c r="J18" s="189">
        <f t="shared" si="5"/>
        <v>75000000</v>
      </c>
      <c r="K18" s="189">
        <f t="shared" si="1"/>
        <v>68000000</v>
      </c>
      <c r="L18" s="189">
        <f t="shared" si="2"/>
        <v>24000000</v>
      </c>
      <c r="M18" s="189">
        <f t="shared" si="3"/>
        <v>165000000</v>
      </c>
      <c r="N18" s="189">
        <f t="shared" si="4"/>
        <v>332000000</v>
      </c>
    </row>
    <row r="19" spans="2:15">
      <c r="B19" s="146" t="s">
        <v>75</v>
      </c>
      <c r="C19" s="80">
        <v>1000</v>
      </c>
      <c r="D19" s="80">
        <v>300</v>
      </c>
      <c r="E19" s="80">
        <v>500</v>
      </c>
      <c r="F19" s="80">
        <v>1800</v>
      </c>
      <c r="G19" s="80">
        <f t="shared" si="0"/>
        <v>3600</v>
      </c>
      <c r="I19" s="137" t="s">
        <v>75</v>
      </c>
      <c r="J19" s="189">
        <f t="shared" si="5"/>
        <v>150000000</v>
      </c>
      <c r="K19" s="189">
        <f t="shared" si="1"/>
        <v>51000000</v>
      </c>
      <c r="L19" s="189">
        <f t="shared" si="2"/>
        <v>60000000</v>
      </c>
      <c r="M19" s="189">
        <f t="shared" si="3"/>
        <v>198000000</v>
      </c>
      <c r="N19" s="189">
        <f t="shared" si="4"/>
        <v>459000000</v>
      </c>
    </row>
    <row r="20" spans="2:15">
      <c r="B20" s="146" t="s">
        <v>76</v>
      </c>
      <c r="C20" s="80">
        <v>600</v>
      </c>
      <c r="D20" s="80">
        <v>200</v>
      </c>
      <c r="E20" s="80">
        <v>900</v>
      </c>
      <c r="F20" s="80">
        <v>1200</v>
      </c>
      <c r="G20" s="80">
        <f t="shared" si="0"/>
        <v>2900</v>
      </c>
      <c r="I20" s="137" t="s">
        <v>76</v>
      </c>
      <c r="J20" s="189">
        <f t="shared" si="5"/>
        <v>90000000</v>
      </c>
      <c r="K20" s="189">
        <f t="shared" si="1"/>
        <v>34000000</v>
      </c>
      <c r="L20" s="189">
        <f t="shared" si="2"/>
        <v>108000000</v>
      </c>
      <c r="M20" s="189">
        <f t="shared" si="3"/>
        <v>132000000</v>
      </c>
      <c r="N20" s="189">
        <f t="shared" si="4"/>
        <v>364000000</v>
      </c>
    </row>
    <row r="21" spans="2:15">
      <c r="B21" s="146" t="s">
        <v>77</v>
      </c>
      <c r="C21" s="80">
        <v>500</v>
      </c>
      <c r="D21" s="80">
        <v>100</v>
      </c>
      <c r="E21" s="80">
        <v>800</v>
      </c>
      <c r="F21" s="80">
        <v>2000</v>
      </c>
      <c r="G21" s="80">
        <f t="shared" si="0"/>
        <v>3400</v>
      </c>
      <c r="I21" s="137" t="s">
        <v>77</v>
      </c>
      <c r="J21" s="189">
        <f t="shared" si="5"/>
        <v>75000000</v>
      </c>
      <c r="K21" s="189">
        <f t="shared" si="1"/>
        <v>17000000</v>
      </c>
      <c r="L21" s="189">
        <f t="shared" si="2"/>
        <v>96000000</v>
      </c>
      <c r="M21" s="189">
        <f t="shared" si="3"/>
        <v>220000000</v>
      </c>
      <c r="N21" s="189">
        <f t="shared" si="4"/>
        <v>408000000</v>
      </c>
    </row>
    <row r="22" spans="2:15">
      <c r="B22" s="146" t="s">
        <v>78</v>
      </c>
      <c r="C22" s="80">
        <v>400</v>
      </c>
      <c r="D22" s="80">
        <v>120</v>
      </c>
      <c r="E22" s="80">
        <v>700</v>
      </c>
      <c r="F22" s="80">
        <v>1500</v>
      </c>
      <c r="G22" s="80">
        <f t="shared" si="0"/>
        <v>2720</v>
      </c>
      <c r="I22" s="137" t="s">
        <v>78</v>
      </c>
      <c r="J22" s="189">
        <f t="shared" si="5"/>
        <v>60000000</v>
      </c>
      <c r="K22" s="189">
        <f t="shared" si="1"/>
        <v>20400000</v>
      </c>
      <c r="L22" s="189">
        <f t="shared" si="2"/>
        <v>84000000</v>
      </c>
      <c r="M22" s="189">
        <f t="shared" si="3"/>
        <v>165000000</v>
      </c>
      <c r="N22" s="189">
        <f t="shared" si="4"/>
        <v>329400000</v>
      </c>
    </row>
    <row r="23" spans="2:15">
      <c r="B23" s="146" t="s">
        <v>79</v>
      </c>
      <c r="C23" s="80">
        <v>300</v>
      </c>
      <c r="D23" s="80">
        <v>140</v>
      </c>
      <c r="E23" s="80">
        <v>600</v>
      </c>
      <c r="F23" s="80">
        <v>1300</v>
      </c>
      <c r="G23" s="80">
        <f t="shared" si="0"/>
        <v>2340</v>
      </c>
      <c r="I23" s="137" t="s">
        <v>79</v>
      </c>
      <c r="J23" s="189">
        <f t="shared" si="5"/>
        <v>45000000</v>
      </c>
      <c r="K23" s="189">
        <f t="shared" si="1"/>
        <v>23800000</v>
      </c>
      <c r="L23" s="189">
        <f t="shared" si="2"/>
        <v>72000000</v>
      </c>
      <c r="M23" s="189">
        <f t="shared" si="3"/>
        <v>143000000</v>
      </c>
      <c r="N23" s="189">
        <f t="shared" si="4"/>
        <v>283800000</v>
      </c>
    </row>
    <row r="24" spans="2:15">
      <c r="B24" s="146" t="s">
        <v>80</v>
      </c>
      <c r="C24" s="80">
        <v>200</v>
      </c>
      <c r="D24" s="80">
        <v>150</v>
      </c>
      <c r="E24" s="80">
        <v>500</v>
      </c>
      <c r="F24" s="80">
        <v>1200</v>
      </c>
      <c r="G24" s="80">
        <f t="shared" si="0"/>
        <v>2050</v>
      </c>
      <c r="I24" s="137" t="s">
        <v>80</v>
      </c>
      <c r="J24" s="189">
        <f t="shared" si="5"/>
        <v>30000000</v>
      </c>
      <c r="K24" s="189">
        <f t="shared" si="1"/>
        <v>25500000</v>
      </c>
      <c r="L24" s="189">
        <f t="shared" si="2"/>
        <v>60000000</v>
      </c>
      <c r="M24" s="189">
        <f t="shared" si="3"/>
        <v>132000000</v>
      </c>
      <c r="N24" s="189">
        <f t="shared" si="4"/>
        <v>247500000</v>
      </c>
    </row>
    <row r="25" spans="2:15">
      <c r="B25" s="146" t="s">
        <v>81</v>
      </c>
      <c r="C25" s="80">
        <v>1000</v>
      </c>
      <c r="D25" s="80">
        <v>110</v>
      </c>
      <c r="E25" s="80">
        <v>400</v>
      </c>
      <c r="F25" s="80">
        <v>1100</v>
      </c>
      <c r="G25" s="80">
        <f t="shared" si="0"/>
        <v>2610</v>
      </c>
      <c r="I25" s="137" t="s">
        <v>81</v>
      </c>
      <c r="J25" s="189">
        <f t="shared" si="5"/>
        <v>150000000</v>
      </c>
      <c r="K25" s="189">
        <f t="shared" si="1"/>
        <v>18700000</v>
      </c>
      <c r="L25" s="189">
        <f t="shared" si="2"/>
        <v>48000000</v>
      </c>
      <c r="M25" s="189">
        <f t="shared" si="3"/>
        <v>121000000</v>
      </c>
      <c r="N25" s="189">
        <f t="shared" si="4"/>
        <v>337700000</v>
      </c>
    </row>
    <row r="26" spans="2:15">
      <c r="B26" s="137" t="s">
        <v>82</v>
      </c>
      <c r="C26" s="148">
        <f>SUM(C14:C25)</f>
        <v>7600</v>
      </c>
      <c r="D26" s="148">
        <f t="shared" ref="D26:F26" si="6">SUM(D14:D25)</f>
        <v>4120</v>
      </c>
      <c r="E26" s="148">
        <f t="shared" si="6"/>
        <v>6800</v>
      </c>
      <c r="F26" s="148">
        <f t="shared" si="6"/>
        <v>15900</v>
      </c>
      <c r="G26" s="148">
        <f t="shared" si="0"/>
        <v>34420</v>
      </c>
      <c r="I26" s="137" t="s">
        <v>82</v>
      </c>
      <c r="J26" s="190">
        <f>SUM(J14:J25)</f>
        <v>1140000000</v>
      </c>
      <c r="K26" s="190">
        <f>SUM(K14:K25)</f>
        <v>700400000</v>
      </c>
      <c r="L26" s="190">
        <f>SUM(L14:L25)</f>
        <v>816000000</v>
      </c>
      <c r="M26" s="190">
        <f>SUM(M14:M25)</f>
        <v>1749000000</v>
      </c>
      <c r="N26" s="191">
        <f t="shared" si="4"/>
        <v>4405400000</v>
      </c>
      <c r="O26" s="100" t="s">
        <v>187</v>
      </c>
    </row>
    <row r="27" spans="2:15">
      <c r="B27" s="137" t="s">
        <v>83</v>
      </c>
      <c r="C27" s="149">
        <f>+C26*(1+$H$9)</f>
        <v>7980</v>
      </c>
      <c r="D27" s="149">
        <f t="shared" ref="D27:F27" si="7">+D26*(1+$H$9)</f>
        <v>4326</v>
      </c>
      <c r="E27" s="149">
        <f t="shared" si="7"/>
        <v>7140</v>
      </c>
      <c r="F27" s="149">
        <f t="shared" si="7"/>
        <v>16695</v>
      </c>
      <c r="G27" s="148">
        <f t="shared" si="0"/>
        <v>36141</v>
      </c>
      <c r="I27" s="137" t="s">
        <v>83</v>
      </c>
      <c r="J27" s="190">
        <f>+J26*(1+$H$9)</f>
        <v>1197000000</v>
      </c>
      <c r="K27" s="190">
        <f>+K26*(1+$H$9)</f>
        <v>735420000</v>
      </c>
      <c r="L27" s="190">
        <f>+L26*(1+$H$9)</f>
        <v>856800000</v>
      </c>
      <c r="M27" s="190">
        <f>+M26*(1+$H$9)</f>
        <v>1836450000</v>
      </c>
      <c r="N27" s="190">
        <f t="shared" si="4"/>
        <v>4625670000</v>
      </c>
    </row>
    <row r="28" spans="2:15">
      <c r="B28" s="137" t="s">
        <v>84</v>
      </c>
      <c r="C28" s="148">
        <f>+C27*(1+$H$10)</f>
        <v>8315.16</v>
      </c>
      <c r="D28" s="148">
        <f t="shared" ref="D28:F28" si="8">+D27*(1+$H$10)</f>
        <v>4507.692</v>
      </c>
      <c r="E28" s="148">
        <f t="shared" si="8"/>
        <v>7439.88</v>
      </c>
      <c r="F28" s="148">
        <f t="shared" si="8"/>
        <v>17396.190000000002</v>
      </c>
      <c r="G28" s="148">
        <f t="shared" si="0"/>
        <v>37658.922000000006</v>
      </c>
      <c r="I28" s="137" t="s">
        <v>84</v>
      </c>
      <c r="J28" s="190">
        <f t="shared" ref="J28:M30" si="9">+J27*(1+$H$10)</f>
        <v>1247274000</v>
      </c>
      <c r="K28" s="190">
        <f t="shared" si="9"/>
        <v>766307640</v>
      </c>
      <c r="L28" s="190">
        <f t="shared" si="9"/>
        <v>892785600</v>
      </c>
      <c r="M28" s="190">
        <f t="shared" si="9"/>
        <v>1913580900</v>
      </c>
      <c r="N28" s="190">
        <f t="shared" si="4"/>
        <v>4819948140</v>
      </c>
    </row>
    <row r="29" spans="2:15">
      <c r="B29" s="137" t="s">
        <v>113</v>
      </c>
      <c r="C29" s="148">
        <f t="shared" ref="C29:C30" si="10">+C28*(1+$H$10)</f>
        <v>8664.3967200000006</v>
      </c>
      <c r="D29" s="148">
        <f t="shared" ref="D29:D30" si="11">+D28*(1+$H$10)</f>
        <v>4697.0150640000002</v>
      </c>
      <c r="E29" s="148">
        <f t="shared" ref="E29:E30" si="12">+E28*(1+$H$10)</f>
        <v>7752.3549600000006</v>
      </c>
      <c r="F29" s="148">
        <f t="shared" ref="F29:F30" si="13">+F28*(1+$H$10)</f>
        <v>18126.829980000002</v>
      </c>
      <c r="G29" s="148">
        <f t="shared" si="0"/>
        <v>39240.596724000003</v>
      </c>
      <c r="I29" s="137" t="s">
        <v>113</v>
      </c>
      <c r="J29" s="190">
        <f t="shared" si="9"/>
        <v>1299659508</v>
      </c>
      <c r="K29" s="190">
        <f t="shared" si="9"/>
        <v>798492560.88</v>
      </c>
      <c r="L29" s="190">
        <f t="shared" si="9"/>
        <v>930282595.20000005</v>
      </c>
      <c r="M29" s="190">
        <f t="shared" si="9"/>
        <v>1993951297.8</v>
      </c>
      <c r="N29" s="190">
        <f t="shared" si="4"/>
        <v>5022385961.8800001</v>
      </c>
    </row>
    <row r="30" spans="2:15">
      <c r="B30" s="137" t="s">
        <v>114</v>
      </c>
      <c r="C30" s="148">
        <f t="shared" si="10"/>
        <v>9028.3013822400007</v>
      </c>
      <c r="D30" s="148">
        <f t="shared" si="11"/>
        <v>4894.2896966880007</v>
      </c>
      <c r="E30" s="148">
        <f t="shared" si="12"/>
        <v>8077.9538683200008</v>
      </c>
      <c r="F30" s="148">
        <f t="shared" si="13"/>
        <v>18888.156839160001</v>
      </c>
      <c r="G30" s="148">
        <f t="shared" si="0"/>
        <v>40888.701786408004</v>
      </c>
      <c r="I30" s="137" t="s">
        <v>114</v>
      </c>
      <c r="J30" s="190">
        <f t="shared" si="9"/>
        <v>1354245207.336</v>
      </c>
      <c r="K30" s="190">
        <f t="shared" si="9"/>
        <v>832029248.43695998</v>
      </c>
      <c r="L30" s="190">
        <f t="shared" si="9"/>
        <v>969354464.19840014</v>
      </c>
      <c r="M30" s="190">
        <f t="shared" si="9"/>
        <v>2077697252.3076</v>
      </c>
      <c r="N30" s="190">
        <f t="shared" si="4"/>
        <v>5233326172.2789593</v>
      </c>
    </row>
    <row r="54" spans="2:18" ht="24" thickBot="1">
      <c r="B54" s="279" t="s">
        <v>307</v>
      </c>
      <c r="C54" s="279"/>
      <c r="D54" s="279"/>
      <c r="E54" s="279"/>
      <c r="F54" s="279"/>
      <c r="G54" s="279"/>
      <c r="H54" s="279"/>
      <c r="I54" s="279"/>
      <c r="K54" s="279" t="s">
        <v>307</v>
      </c>
      <c r="L54" s="279"/>
      <c r="M54" s="279"/>
      <c r="N54" s="279"/>
      <c r="O54" s="279"/>
      <c r="P54" s="279"/>
      <c r="Q54" s="279"/>
      <c r="R54" s="279"/>
    </row>
    <row r="55" spans="2:18" ht="64.95" customHeight="1" thickBot="1">
      <c r="B55" s="291" t="s">
        <v>320</v>
      </c>
      <c r="C55" s="292"/>
      <c r="D55" s="292"/>
      <c r="E55" s="292"/>
      <c r="F55" s="292"/>
      <c r="G55" s="292"/>
      <c r="H55" s="292"/>
      <c r="I55" s="293"/>
      <c r="K55" s="291" t="s">
        <v>320</v>
      </c>
      <c r="L55" s="292"/>
      <c r="M55" s="292"/>
      <c r="N55" s="292"/>
      <c r="O55" s="292"/>
      <c r="P55" s="292"/>
      <c r="Q55" s="292"/>
      <c r="R55" s="293"/>
    </row>
    <row r="56" spans="2:18" ht="139.05000000000001" customHeight="1" thickBot="1">
      <c r="B56" s="283"/>
      <c r="C56" s="284"/>
      <c r="D56" s="284"/>
      <c r="E56" s="284"/>
      <c r="F56" s="284"/>
      <c r="G56" s="284"/>
      <c r="H56" s="284"/>
      <c r="I56" s="285"/>
      <c r="K56" s="283"/>
      <c r="L56" s="284"/>
      <c r="M56" s="284"/>
      <c r="N56" s="284"/>
      <c r="O56" s="284"/>
      <c r="P56" s="284"/>
      <c r="Q56" s="284"/>
      <c r="R56" s="285"/>
    </row>
  </sheetData>
  <protectedRanges>
    <protectedRange sqref="B7:C10" name="Productos"/>
    <protectedRange sqref="H9:H10" name="Rango2"/>
    <protectedRange sqref="C14:F25" name="Rango3"/>
  </protectedRanges>
  <mergeCells count="13">
    <mergeCell ref="B12:G12"/>
    <mergeCell ref="I12:N12"/>
    <mergeCell ref="E2:I2"/>
    <mergeCell ref="B5:C5"/>
    <mergeCell ref="E8:G8"/>
    <mergeCell ref="E9:G9"/>
    <mergeCell ref="E10:G10"/>
    <mergeCell ref="B54:I54"/>
    <mergeCell ref="B55:I55"/>
    <mergeCell ref="B56:I56"/>
    <mergeCell ref="K54:R54"/>
    <mergeCell ref="K55:R55"/>
    <mergeCell ref="K56:R56"/>
  </mergeCells>
  <phoneticPr fontId="19" type="noConversion"/>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tabColor rgb="FF00B0F0"/>
  </sheetPr>
  <dimension ref="A2:AB28"/>
  <sheetViews>
    <sheetView topLeftCell="L22" zoomScale="145" zoomScaleNormal="145" workbookViewId="0">
      <selection activeCell="U27" sqref="U27:AB27"/>
    </sheetView>
  </sheetViews>
  <sheetFormatPr baseColWidth="10" defaultRowHeight="13.8"/>
  <cols>
    <col min="1" max="1" width="5.109375" style="1" bestFit="1" customWidth="1"/>
    <col min="2" max="2" width="47.33203125" style="1" customWidth="1"/>
    <col min="3" max="3" width="14.109375" style="1" hidden="1" customWidth="1"/>
    <col min="4" max="4" width="13.44140625" style="1" hidden="1" customWidth="1"/>
    <col min="5" max="5" width="13.77734375" style="1" hidden="1" customWidth="1"/>
    <col min="6" max="8" width="16.109375" style="1" bestFit="1" customWidth="1"/>
    <col min="9" max="10" width="16.109375" style="1" hidden="1" customWidth="1"/>
    <col min="11" max="12" width="11.44140625" style="1"/>
    <col min="13" max="13" width="11.44140625" style="1" bestFit="1" customWidth="1"/>
    <col min="14" max="256" width="11.44140625" style="1"/>
    <col min="257" max="257" width="3.109375" style="1" customWidth="1"/>
    <col min="258" max="258" width="32.44140625" style="1" customWidth="1"/>
    <col min="259" max="262" width="11.44140625" style="1"/>
    <col min="263" max="263" width="17.44140625" style="1" customWidth="1"/>
    <col min="264" max="512" width="11.44140625" style="1"/>
    <col min="513" max="513" width="3.109375" style="1" customWidth="1"/>
    <col min="514" max="514" width="32.44140625" style="1" customWidth="1"/>
    <col min="515" max="518" width="11.44140625" style="1"/>
    <col min="519" max="519" width="17.44140625" style="1" customWidth="1"/>
    <col min="520" max="768" width="11.44140625" style="1"/>
    <col min="769" max="769" width="3.109375" style="1" customWidth="1"/>
    <col min="770" max="770" width="32.44140625" style="1" customWidth="1"/>
    <col min="771" max="774" width="11.44140625" style="1"/>
    <col min="775" max="775" width="17.44140625" style="1" customWidth="1"/>
    <col min="776" max="1024" width="11.44140625" style="1"/>
    <col min="1025" max="1025" width="3.109375" style="1" customWidth="1"/>
    <col min="1026" max="1026" width="32.44140625" style="1" customWidth="1"/>
    <col min="1027" max="1030" width="11.44140625" style="1"/>
    <col min="1031" max="1031" width="17.44140625" style="1" customWidth="1"/>
    <col min="1032" max="1280" width="11.44140625" style="1"/>
    <col min="1281" max="1281" width="3.109375" style="1" customWidth="1"/>
    <col min="1282" max="1282" width="32.44140625" style="1" customWidth="1"/>
    <col min="1283" max="1286" width="11.44140625" style="1"/>
    <col min="1287" max="1287" width="17.44140625" style="1" customWidth="1"/>
    <col min="1288" max="1536" width="11.44140625" style="1"/>
    <col min="1537" max="1537" width="3.109375" style="1" customWidth="1"/>
    <col min="1538" max="1538" width="32.44140625" style="1" customWidth="1"/>
    <col min="1539" max="1542" width="11.44140625" style="1"/>
    <col min="1543" max="1543" width="17.44140625" style="1" customWidth="1"/>
    <col min="1544" max="1792" width="11.44140625" style="1"/>
    <col min="1793" max="1793" width="3.109375" style="1" customWidth="1"/>
    <col min="1794" max="1794" width="32.44140625" style="1" customWidth="1"/>
    <col min="1795" max="1798" width="11.44140625" style="1"/>
    <col min="1799" max="1799" width="17.44140625" style="1" customWidth="1"/>
    <col min="1800" max="2048" width="11.44140625" style="1"/>
    <col min="2049" max="2049" width="3.109375" style="1" customWidth="1"/>
    <col min="2050" max="2050" width="32.44140625" style="1" customWidth="1"/>
    <col min="2051" max="2054" width="11.44140625" style="1"/>
    <col min="2055" max="2055" width="17.44140625" style="1" customWidth="1"/>
    <col min="2056" max="2304" width="11.44140625" style="1"/>
    <col min="2305" max="2305" width="3.109375" style="1" customWidth="1"/>
    <col min="2306" max="2306" width="32.44140625" style="1" customWidth="1"/>
    <col min="2307" max="2310" width="11.44140625" style="1"/>
    <col min="2311" max="2311" width="17.44140625" style="1" customWidth="1"/>
    <col min="2312" max="2560" width="11.44140625" style="1"/>
    <col min="2561" max="2561" width="3.109375" style="1" customWidth="1"/>
    <col min="2562" max="2562" width="32.44140625" style="1" customWidth="1"/>
    <col min="2563" max="2566" width="11.44140625" style="1"/>
    <col min="2567" max="2567" width="17.44140625" style="1" customWidth="1"/>
    <col min="2568" max="2816" width="11.44140625" style="1"/>
    <col min="2817" max="2817" width="3.109375" style="1" customWidth="1"/>
    <col min="2818" max="2818" width="32.44140625" style="1" customWidth="1"/>
    <col min="2819" max="2822" width="11.44140625" style="1"/>
    <col min="2823" max="2823" width="17.44140625" style="1" customWidth="1"/>
    <col min="2824" max="3072" width="11.44140625" style="1"/>
    <col min="3073" max="3073" width="3.109375" style="1" customWidth="1"/>
    <col min="3074" max="3074" width="32.44140625" style="1" customWidth="1"/>
    <col min="3075" max="3078" width="11.44140625" style="1"/>
    <col min="3079" max="3079" width="17.44140625" style="1" customWidth="1"/>
    <col min="3080" max="3328" width="11.44140625" style="1"/>
    <col min="3329" max="3329" width="3.109375" style="1" customWidth="1"/>
    <col min="3330" max="3330" width="32.44140625" style="1" customWidth="1"/>
    <col min="3331" max="3334" width="11.44140625" style="1"/>
    <col min="3335" max="3335" width="17.44140625" style="1" customWidth="1"/>
    <col min="3336" max="3584" width="11.44140625" style="1"/>
    <col min="3585" max="3585" width="3.109375" style="1" customWidth="1"/>
    <col min="3586" max="3586" width="32.44140625" style="1" customWidth="1"/>
    <col min="3587" max="3590" width="11.44140625" style="1"/>
    <col min="3591" max="3591" width="17.44140625" style="1" customWidth="1"/>
    <col min="3592" max="3840" width="11.44140625" style="1"/>
    <col min="3841" max="3841" width="3.109375" style="1" customWidth="1"/>
    <col min="3842" max="3842" width="32.44140625" style="1" customWidth="1"/>
    <col min="3843" max="3846" width="11.44140625" style="1"/>
    <col min="3847" max="3847" width="17.44140625" style="1" customWidth="1"/>
    <col min="3848" max="4096" width="11.44140625" style="1"/>
    <col min="4097" max="4097" width="3.109375" style="1" customWidth="1"/>
    <col min="4098" max="4098" width="32.44140625" style="1" customWidth="1"/>
    <col min="4099" max="4102" width="11.44140625" style="1"/>
    <col min="4103" max="4103" width="17.44140625" style="1" customWidth="1"/>
    <col min="4104" max="4352" width="11.44140625" style="1"/>
    <col min="4353" max="4353" width="3.109375" style="1" customWidth="1"/>
    <col min="4354" max="4354" width="32.44140625" style="1" customWidth="1"/>
    <col min="4355" max="4358" width="11.44140625" style="1"/>
    <col min="4359" max="4359" width="17.44140625" style="1" customWidth="1"/>
    <col min="4360" max="4608" width="11.44140625" style="1"/>
    <col min="4609" max="4609" width="3.109375" style="1" customWidth="1"/>
    <col min="4610" max="4610" width="32.44140625" style="1" customWidth="1"/>
    <col min="4611" max="4614" width="11.44140625" style="1"/>
    <col min="4615" max="4615" width="17.44140625" style="1" customWidth="1"/>
    <col min="4616" max="4864" width="11.44140625" style="1"/>
    <col min="4865" max="4865" width="3.109375" style="1" customWidth="1"/>
    <col min="4866" max="4866" width="32.44140625" style="1" customWidth="1"/>
    <col min="4867" max="4870" width="11.44140625" style="1"/>
    <col min="4871" max="4871" width="17.44140625" style="1" customWidth="1"/>
    <col min="4872" max="5120" width="11.44140625" style="1"/>
    <col min="5121" max="5121" width="3.109375" style="1" customWidth="1"/>
    <col min="5122" max="5122" width="32.44140625" style="1" customWidth="1"/>
    <col min="5123" max="5126" width="11.44140625" style="1"/>
    <col min="5127" max="5127" width="17.44140625" style="1" customWidth="1"/>
    <col min="5128" max="5376" width="11.44140625" style="1"/>
    <col min="5377" max="5377" width="3.109375" style="1" customWidth="1"/>
    <col min="5378" max="5378" width="32.44140625" style="1" customWidth="1"/>
    <col min="5379" max="5382" width="11.44140625" style="1"/>
    <col min="5383" max="5383" width="17.44140625" style="1" customWidth="1"/>
    <col min="5384" max="5632" width="11.44140625" style="1"/>
    <col min="5633" max="5633" width="3.109375" style="1" customWidth="1"/>
    <col min="5634" max="5634" width="32.44140625" style="1" customWidth="1"/>
    <col min="5635" max="5638" width="11.44140625" style="1"/>
    <col min="5639" max="5639" width="17.44140625" style="1" customWidth="1"/>
    <col min="5640" max="5888" width="11.44140625" style="1"/>
    <col min="5889" max="5889" width="3.109375" style="1" customWidth="1"/>
    <col min="5890" max="5890" width="32.44140625" style="1" customWidth="1"/>
    <col min="5891" max="5894" width="11.44140625" style="1"/>
    <col min="5895" max="5895" width="17.44140625" style="1" customWidth="1"/>
    <col min="5896" max="6144" width="11.44140625" style="1"/>
    <col min="6145" max="6145" width="3.109375" style="1" customWidth="1"/>
    <col min="6146" max="6146" width="32.44140625" style="1" customWidth="1"/>
    <col min="6147" max="6150" width="11.44140625" style="1"/>
    <col min="6151" max="6151" width="17.44140625" style="1" customWidth="1"/>
    <col min="6152" max="6400" width="11.44140625" style="1"/>
    <col min="6401" max="6401" width="3.109375" style="1" customWidth="1"/>
    <col min="6402" max="6402" width="32.44140625" style="1" customWidth="1"/>
    <col min="6403" max="6406" width="11.44140625" style="1"/>
    <col min="6407" max="6407" width="17.44140625" style="1" customWidth="1"/>
    <col min="6408" max="6656" width="11.44140625" style="1"/>
    <col min="6657" max="6657" width="3.109375" style="1" customWidth="1"/>
    <col min="6658" max="6658" width="32.44140625" style="1" customWidth="1"/>
    <col min="6659" max="6662" width="11.44140625" style="1"/>
    <col min="6663" max="6663" width="17.44140625" style="1" customWidth="1"/>
    <col min="6664" max="6912" width="11.44140625" style="1"/>
    <col min="6913" max="6913" width="3.109375" style="1" customWidth="1"/>
    <col min="6914" max="6914" width="32.44140625" style="1" customWidth="1"/>
    <col min="6915" max="6918" width="11.44140625" style="1"/>
    <col min="6919" max="6919" width="17.44140625" style="1" customWidth="1"/>
    <col min="6920" max="7168" width="11.44140625" style="1"/>
    <col min="7169" max="7169" width="3.109375" style="1" customWidth="1"/>
    <col min="7170" max="7170" width="32.44140625" style="1" customWidth="1"/>
    <col min="7171" max="7174" width="11.44140625" style="1"/>
    <col min="7175" max="7175" width="17.44140625" style="1" customWidth="1"/>
    <col min="7176" max="7424" width="11.44140625" style="1"/>
    <col min="7425" max="7425" width="3.109375" style="1" customWidth="1"/>
    <col min="7426" max="7426" width="32.44140625" style="1" customWidth="1"/>
    <col min="7427" max="7430" width="11.44140625" style="1"/>
    <col min="7431" max="7431" width="17.44140625" style="1" customWidth="1"/>
    <col min="7432" max="7680" width="11.44140625" style="1"/>
    <col min="7681" max="7681" width="3.109375" style="1" customWidth="1"/>
    <col min="7682" max="7682" width="32.44140625" style="1" customWidth="1"/>
    <col min="7683" max="7686" width="11.44140625" style="1"/>
    <col min="7687" max="7687" width="17.44140625" style="1" customWidth="1"/>
    <col min="7688" max="7936" width="11.44140625" style="1"/>
    <col min="7937" max="7937" width="3.109375" style="1" customWidth="1"/>
    <col min="7938" max="7938" width="32.44140625" style="1" customWidth="1"/>
    <col min="7939" max="7942" width="11.44140625" style="1"/>
    <col min="7943" max="7943" width="17.44140625" style="1" customWidth="1"/>
    <col min="7944" max="8192" width="11.44140625" style="1"/>
    <col min="8193" max="8193" width="3.109375" style="1" customWidth="1"/>
    <col min="8194" max="8194" width="32.44140625" style="1" customWidth="1"/>
    <col min="8195" max="8198" width="11.44140625" style="1"/>
    <col min="8199" max="8199" width="17.44140625" style="1" customWidth="1"/>
    <col min="8200" max="8448" width="11.44140625" style="1"/>
    <col min="8449" max="8449" width="3.109375" style="1" customWidth="1"/>
    <col min="8450" max="8450" width="32.44140625" style="1" customWidth="1"/>
    <col min="8451" max="8454" width="11.44140625" style="1"/>
    <col min="8455" max="8455" width="17.44140625" style="1" customWidth="1"/>
    <col min="8456" max="8704" width="11.44140625" style="1"/>
    <col min="8705" max="8705" width="3.109375" style="1" customWidth="1"/>
    <col min="8706" max="8706" width="32.44140625" style="1" customWidth="1"/>
    <col min="8707" max="8710" width="11.44140625" style="1"/>
    <col min="8711" max="8711" width="17.44140625" style="1" customWidth="1"/>
    <col min="8712" max="8960" width="11.44140625" style="1"/>
    <col min="8961" max="8961" width="3.109375" style="1" customWidth="1"/>
    <col min="8962" max="8962" width="32.44140625" style="1" customWidth="1"/>
    <col min="8963" max="8966" width="11.44140625" style="1"/>
    <col min="8967" max="8967" width="17.44140625" style="1" customWidth="1"/>
    <col min="8968" max="9216" width="11.44140625" style="1"/>
    <col min="9217" max="9217" width="3.109375" style="1" customWidth="1"/>
    <col min="9218" max="9218" width="32.44140625" style="1" customWidth="1"/>
    <col min="9219" max="9222" width="11.44140625" style="1"/>
    <col min="9223" max="9223" width="17.44140625" style="1" customWidth="1"/>
    <col min="9224" max="9472" width="11.44140625" style="1"/>
    <col min="9473" max="9473" width="3.109375" style="1" customWidth="1"/>
    <col min="9474" max="9474" width="32.44140625" style="1" customWidth="1"/>
    <col min="9475" max="9478" width="11.44140625" style="1"/>
    <col min="9479" max="9479" width="17.44140625" style="1" customWidth="1"/>
    <col min="9480" max="9728" width="11.44140625" style="1"/>
    <col min="9729" max="9729" width="3.109375" style="1" customWidth="1"/>
    <col min="9730" max="9730" width="32.44140625" style="1" customWidth="1"/>
    <col min="9731" max="9734" width="11.44140625" style="1"/>
    <col min="9735" max="9735" width="17.44140625" style="1" customWidth="1"/>
    <col min="9736" max="9984" width="11.44140625" style="1"/>
    <col min="9985" max="9985" width="3.109375" style="1" customWidth="1"/>
    <col min="9986" max="9986" width="32.44140625" style="1" customWidth="1"/>
    <col min="9987" max="9990" width="11.44140625" style="1"/>
    <col min="9991" max="9991" width="17.44140625" style="1" customWidth="1"/>
    <col min="9992" max="10240" width="11.44140625" style="1"/>
    <col min="10241" max="10241" width="3.109375" style="1" customWidth="1"/>
    <col min="10242" max="10242" width="32.44140625" style="1" customWidth="1"/>
    <col min="10243" max="10246" width="11.44140625" style="1"/>
    <col min="10247" max="10247" width="17.44140625" style="1" customWidth="1"/>
    <col min="10248" max="10496" width="11.44140625" style="1"/>
    <col min="10497" max="10497" width="3.109375" style="1" customWidth="1"/>
    <col min="10498" max="10498" width="32.44140625" style="1" customWidth="1"/>
    <col min="10499" max="10502" width="11.44140625" style="1"/>
    <col min="10503" max="10503" width="17.44140625" style="1" customWidth="1"/>
    <col min="10504" max="10752" width="11.44140625" style="1"/>
    <col min="10753" max="10753" width="3.109375" style="1" customWidth="1"/>
    <col min="10754" max="10754" width="32.44140625" style="1" customWidth="1"/>
    <col min="10755" max="10758" width="11.44140625" style="1"/>
    <col min="10759" max="10759" width="17.44140625" style="1" customWidth="1"/>
    <col min="10760" max="11008" width="11.44140625" style="1"/>
    <col min="11009" max="11009" width="3.109375" style="1" customWidth="1"/>
    <col min="11010" max="11010" width="32.44140625" style="1" customWidth="1"/>
    <col min="11011" max="11014" width="11.44140625" style="1"/>
    <col min="11015" max="11015" width="17.44140625" style="1" customWidth="1"/>
    <col min="11016" max="11264" width="11.44140625" style="1"/>
    <col min="11265" max="11265" width="3.109375" style="1" customWidth="1"/>
    <col min="11266" max="11266" width="32.44140625" style="1" customWidth="1"/>
    <col min="11267" max="11270" width="11.44140625" style="1"/>
    <col min="11271" max="11271" width="17.44140625" style="1" customWidth="1"/>
    <col min="11272" max="11520" width="11.44140625" style="1"/>
    <col min="11521" max="11521" width="3.109375" style="1" customWidth="1"/>
    <col min="11522" max="11522" width="32.44140625" style="1" customWidth="1"/>
    <col min="11523" max="11526" width="11.44140625" style="1"/>
    <col min="11527" max="11527" width="17.44140625" style="1" customWidth="1"/>
    <col min="11528" max="11776" width="11.44140625" style="1"/>
    <col min="11777" max="11777" width="3.109375" style="1" customWidth="1"/>
    <col min="11778" max="11778" width="32.44140625" style="1" customWidth="1"/>
    <col min="11779" max="11782" width="11.44140625" style="1"/>
    <col min="11783" max="11783" width="17.44140625" style="1" customWidth="1"/>
    <col min="11784" max="12032" width="11.44140625" style="1"/>
    <col min="12033" max="12033" width="3.109375" style="1" customWidth="1"/>
    <col min="12034" max="12034" width="32.44140625" style="1" customWidth="1"/>
    <col min="12035" max="12038" width="11.44140625" style="1"/>
    <col min="12039" max="12039" width="17.44140625" style="1" customWidth="1"/>
    <col min="12040" max="12288" width="11.44140625" style="1"/>
    <col min="12289" max="12289" width="3.109375" style="1" customWidth="1"/>
    <col min="12290" max="12290" width="32.44140625" style="1" customWidth="1"/>
    <col min="12291" max="12294" width="11.44140625" style="1"/>
    <col min="12295" max="12295" width="17.44140625" style="1" customWidth="1"/>
    <col min="12296" max="12544" width="11.44140625" style="1"/>
    <col min="12545" max="12545" width="3.109375" style="1" customWidth="1"/>
    <col min="12546" max="12546" width="32.44140625" style="1" customWidth="1"/>
    <col min="12547" max="12550" width="11.44140625" style="1"/>
    <col min="12551" max="12551" width="17.44140625" style="1" customWidth="1"/>
    <col min="12552" max="12800" width="11.44140625" style="1"/>
    <col min="12801" max="12801" width="3.109375" style="1" customWidth="1"/>
    <col min="12802" max="12802" width="32.44140625" style="1" customWidth="1"/>
    <col min="12803" max="12806" width="11.44140625" style="1"/>
    <col min="12807" max="12807" width="17.44140625" style="1" customWidth="1"/>
    <col min="12808" max="13056" width="11.44140625" style="1"/>
    <col min="13057" max="13057" width="3.109375" style="1" customWidth="1"/>
    <col min="13058" max="13058" width="32.44140625" style="1" customWidth="1"/>
    <col min="13059" max="13062" width="11.44140625" style="1"/>
    <col min="13063" max="13063" width="17.44140625" style="1" customWidth="1"/>
    <col min="13064" max="13312" width="11.44140625" style="1"/>
    <col min="13313" max="13313" width="3.109375" style="1" customWidth="1"/>
    <col min="13314" max="13314" width="32.44140625" style="1" customWidth="1"/>
    <col min="13315" max="13318" width="11.44140625" style="1"/>
    <col min="13319" max="13319" width="17.44140625" style="1" customWidth="1"/>
    <col min="13320" max="13568" width="11.44140625" style="1"/>
    <col min="13569" max="13569" width="3.109375" style="1" customWidth="1"/>
    <col min="13570" max="13570" width="32.44140625" style="1" customWidth="1"/>
    <col min="13571" max="13574" width="11.44140625" style="1"/>
    <col min="13575" max="13575" width="17.44140625" style="1" customWidth="1"/>
    <col min="13576" max="13824" width="11.44140625" style="1"/>
    <col min="13825" max="13825" width="3.109375" style="1" customWidth="1"/>
    <col min="13826" max="13826" width="32.44140625" style="1" customWidth="1"/>
    <col min="13827" max="13830" width="11.44140625" style="1"/>
    <col min="13831" max="13831" width="17.44140625" style="1" customWidth="1"/>
    <col min="13832" max="14080" width="11.44140625" style="1"/>
    <col min="14081" max="14081" width="3.109375" style="1" customWidth="1"/>
    <col min="14082" max="14082" width="32.44140625" style="1" customWidth="1"/>
    <col min="14083" max="14086" width="11.44140625" style="1"/>
    <col min="14087" max="14087" width="17.44140625" style="1" customWidth="1"/>
    <col min="14088" max="14336" width="11.44140625" style="1"/>
    <col min="14337" max="14337" width="3.109375" style="1" customWidth="1"/>
    <col min="14338" max="14338" width="32.44140625" style="1" customWidth="1"/>
    <col min="14339" max="14342" width="11.44140625" style="1"/>
    <col min="14343" max="14343" width="17.44140625" style="1" customWidth="1"/>
    <col min="14344" max="14592" width="11.44140625" style="1"/>
    <col min="14593" max="14593" width="3.109375" style="1" customWidth="1"/>
    <col min="14594" max="14594" width="32.44140625" style="1" customWidth="1"/>
    <col min="14595" max="14598" width="11.44140625" style="1"/>
    <col min="14599" max="14599" width="17.44140625" style="1" customWidth="1"/>
    <col min="14600" max="14848" width="11.44140625" style="1"/>
    <col min="14849" max="14849" width="3.109375" style="1" customWidth="1"/>
    <col min="14850" max="14850" width="32.44140625" style="1" customWidth="1"/>
    <col min="14851" max="14854" width="11.44140625" style="1"/>
    <col min="14855" max="14855" width="17.44140625" style="1" customWidth="1"/>
    <col min="14856" max="15104" width="11.44140625" style="1"/>
    <col min="15105" max="15105" width="3.109375" style="1" customWidth="1"/>
    <col min="15106" max="15106" width="32.44140625" style="1" customWidth="1"/>
    <col min="15107" max="15110" width="11.44140625" style="1"/>
    <col min="15111" max="15111" width="17.44140625" style="1" customWidth="1"/>
    <col min="15112" max="15360" width="11.44140625" style="1"/>
    <col min="15361" max="15361" width="3.109375" style="1" customWidth="1"/>
    <col min="15362" max="15362" width="32.44140625" style="1" customWidth="1"/>
    <col min="15363" max="15366" width="11.44140625" style="1"/>
    <col min="15367" max="15367" width="17.44140625" style="1" customWidth="1"/>
    <col min="15368" max="15616" width="11.44140625" style="1"/>
    <col min="15617" max="15617" width="3.109375" style="1" customWidth="1"/>
    <col min="15618" max="15618" width="32.44140625" style="1" customWidth="1"/>
    <col min="15619" max="15622" width="11.44140625" style="1"/>
    <col min="15623" max="15623" width="17.44140625" style="1" customWidth="1"/>
    <col min="15624" max="15872" width="11.44140625" style="1"/>
    <col min="15873" max="15873" width="3.109375" style="1" customWidth="1"/>
    <col min="15874" max="15874" width="32.44140625" style="1" customWidth="1"/>
    <col min="15875" max="15878" width="11.44140625" style="1"/>
    <col min="15879" max="15879" width="17.44140625" style="1" customWidth="1"/>
    <col min="15880" max="16128" width="11.44140625" style="1"/>
    <col min="16129" max="16129" width="3.109375" style="1" customWidth="1"/>
    <col min="16130" max="16130" width="32.44140625" style="1" customWidth="1"/>
    <col min="16131" max="16134" width="11.44140625" style="1"/>
    <col min="16135" max="16135" width="17.44140625" style="1" customWidth="1"/>
    <col min="16136" max="16384" width="11.44140625" style="1"/>
  </cols>
  <sheetData>
    <row r="2" spans="2:13" ht="20.25" customHeight="1">
      <c r="B2" s="319" t="s">
        <v>149</v>
      </c>
      <c r="C2" s="320"/>
      <c r="D2" s="320"/>
      <c r="E2" s="320"/>
      <c r="F2" s="320"/>
      <c r="G2" s="320"/>
      <c r="H2" s="321"/>
      <c r="I2" s="101"/>
    </row>
    <row r="3" spans="2:13" ht="14.4" thickBot="1"/>
    <row r="4" spans="2:13" ht="14.4" thickBot="1">
      <c r="B4" s="116"/>
      <c r="C4" s="121" t="s">
        <v>101</v>
      </c>
      <c r="D4" s="122" t="s">
        <v>102</v>
      </c>
      <c r="E4" s="123" t="s">
        <v>103</v>
      </c>
      <c r="F4" s="121" t="s">
        <v>2</v>
      </c>
      <c r="G4" s="122" t="s">
        <v>3</v>
      </c>
      <c r="H4" s="123" t="s">
        <v>4</v>
      </c>
      <c r="I4" s="102" t="s">
        <v>115</v>
      </c>
      <c r="J4" s="3" t="s">
        <v>116</v>
      </c>
      <c r="L4" s="74" t="s">
        <v>110</v>
      </c>
      <c r="M4" s="88">
        <v>0.08</v>
      </c>
    </row>
    <row r="5" spans="2:13" s="78" customFormat="1" ht="17.25" customHeight="1">
      <c r="B5" s="112" t="s">
        <v>135</v>
      </c>
      <c r="C5" s="117">
        <f>Ventas!N14</f>
        <v>468000000</v>
      </c>
      <c r="D5" s="118">
        <f>Ventas!N15</f>
        <v>321000000</v>
      </c>
      <c r="E5" s="119">
        <f>Ventas!N16</f>
        <v>266000000</v>
      </c>
      <c r="F5" s="120">
        <f>Ventas!N26</f>
        <v>4405400000</v>
      </c>
      <c r="G5" s="118">
        <f>Ventas!N27</f>
        <v>4625670000</v>
      </c>
      <c r="H5" s="119">
        <f>Ventas!N28</f>
        <v>4819948140</v>
      </c>
      <c r="I5" s="103">
        <f>Ventas!N29</f>
        <v>5022385961.8800001</v>
      </c>
      <c r="J5" s="89">
        <f>Ventas!N30</f>
        <v>5233326172.2789593</v>
      </c>
    </row>
    <row r="6" spans="2:13" s="78" customFormat="1" ht="17.25" customHeight="1">
      <c r="B6" s="112" t="s">
        <v>141</v>
      </c>
      <c r="C6" s="109">
        <f>'Costos Variables'!$G$14</f>
        <v>138800000</v>
      </c>
      <c r="D6" s="89">
        <f>'Costos Variables'!$G$15</f>
        <v>101710000</v>
      </c>
      <c r="E6" s="105">
        <f>'Costos Variables'!$G$16</f>
        <v>86000000</v>
      </c>
      <c r="F6" s="106">
        <f>'Costos Variables'!$G$26</f>
        <v>1189458000</v>
      </c>
      <c r="G6" s="89">
        <f>'Costos Variables'!$G$27</f>
        <v>1248930900</v>
      </c>
      <c r="H6" s="105">
        <f>'Costos Variables'!G28</f>
        <v>1301385997.8</v>
      </c>
      <c r="I6" s="103">
        <f>'Costos Variables'!G29</f>
        <v>1356044209.7076001</v>
      </c>
      <c r="J6" s="89">
        <f>'Costos Variables'!$G$27</f>
        <v>1248930900</v>
      </c>
      <c r="K6" s="90"/>
    </row>
    <row r="7" spans="2:13" s="78" customFormat="1" ht="17.25" customHeight="1">
      <c r="B7" s="113" t="s">
        <v>107</v>
      </c>
      <c r="C7" s="107">
        <f t="shared" ref="C7:G7" si="0">C5-C6</f>
        <v>329200000</v>
      </c>
      <c r="D7" s="95">
        <f t="shared" si="0"/>
        <v>219290000</v>
      </c>
      <c r="E7" s="108">
        <f t="shared" si="0"/>
        <v>180000000</v>
      </c>
      <c r="F7" s="107">
        <f t="shared" si="0"/>
        <v>3215942000</v>
      </c>
      <c r="G7" s="95">
        <f t="shared" si="0"/>
        <v>3376739100</v>
      </c>
      <c r="H7" s="108">
        <f>H5-H6</f>
        <v>3518562142.1999998</v>
      </c>
      <c r="I7" s="104">
        <f>I5-I6</f>
        <v>3666341752.1724</v>
      </c>
      <c r="J7" s="91">
        <f>J5-J6</f>
        <v>3984395272.2789593</v>
      </c>
      <c r="K7" s="90"/>
    </row>
    <row r="8" spans="2:13" s="78" customFormat="1" ht="17.25" hidden="1" customHeight="1">
      <c r="B8" s="114" t="s">
        <v>124</v>
      </c>
      <c r="C8" s="109">
        <f>'Gastos Fijos'!C9</f>
        <v>0</v>
      </c>
      <c r="D8" s="89">
        <f>'Gastos Fijos'!C9</f>
        <v>0</v>
      </c>
      <c r="E8" s="105">
        <f>'Gastos Fijos'!C9</f>
        <v>0</v>
      </c>
      <c r="F8" s="109">
        <f>'Gastos Fijos'!C9*12</f>
        <v>0</v>
      </c>
      <c r="G8" s="89">
        <f t="shared" ref="G8:J9" si="1">(F8*$M$4)+F8</f>
        <v>0</v>
      </c>
      <c r="H8" s="105">
        <f t="shared" si="1"/>
        <v>0</v>
      </c>
      <c r="I8" s="103">
        <f t="shared" si="1"/>
        <v>0</v>
      </c>
      <c r="J8" s="89">
        <f t="shared" si="1"/>
        <v>0</v>
      </c>
      <c r="K8" s="90"/>
    </row>
    <row r="9" spans="2:13" s="78" customFormat="1" ht="17.25" customHeight="1">
      <c r="B9" s="114" t="s">
        <v>123</v>
      </c>
      <c r="C9" s="109">
        <f>'Gastos Fijos'!C10</f>
        <v>2000000</v>
      </c>
      <c r="D9" s="89">
        <f>'Gastos Fijos'!C10</f>
        <v>2000000</v>
      </c>
      <c r="E9" s="105">
        <f>'Gastos Fijos'!C10</f>
        <v>2000000</v>
      </c>
      <c r="F9" s="109">
        <f>'Gastos Fijos'!C10*12</f>
        <v>24000000</v>
      </c>
      <c r="G9" s="89">
        <f t="shared" si="1"/>
        <v>25920000</v>
      </c>
      <c r="H9" s="105">
        <f t="shared" si="1"/>
        <v>27993600</v>
      </c>
      <c r="I9" s="103">
        <f t="shared" si="1"/>
        <v>30233088</v>
      </c>
      <c r="J9" s="89">
        <f t="shared" si="1"/>
        <v>32651735.039999999</v>
      </c>
      <c r="K9" s="90"/>
    </row>
    <row r="10" spans="2:13" s="78" customFormat="1" ht="17.25" customHeight="1">
      <c r="B10" s="115" t="s">
        <v>104</v>
      </c>
      <c r="C10" s="109">
        <f>'Gastos Fijos'!T33</f>
        <v>9416324</v>
      </c>
      <c r="D10" s="89">
        <f>'Gastos Fijos'!T33</f>
        <v>9416324</v>
      </c>
      <c r="E10" s="105">
        <f>'Gastos Fijos'!T33</f>
        <v>9416324</v>
      </c>
      <c r="F10" s="109">
        <f>'Gastos Fijos'!T33*12</f>
        <v>112995888</v>
      </c>
      <c r="G10" s="89">
        <f>(F10*$M$4)+F10</f>
        <v>122035559.04000001</v>
      </c>
      <c r="H10" s="105">
        <f>(G10*$M$4)+G10</f>
        <v>131798403.76320001</v>
      </c>
      <c r="I10" s="103" t="e">
        <f>(H10*#REF!)+H10</f>
        <v>#REF!</v>
      </c>
      <c r="J10" s="89" t="e">
        <f>(I10*#REF!)+I10</f>
        <v>#REF!</v>
      </c>
      <c r="K10" s="90"/>
    </row>
    <row r="11" spans="2:13" s="78" customFormat="1" ht="17.25" customHeight="1">
      <c r="B11" s="114" t="s">
        <v>129</v>
      </c>
      <c r="C11" s="109">
        <f>'Gastos Fijos'!C11+'Gastos Fijos'!C12</f>
        <v>550000</v>
      </c>
      <c r="D11" s="89">
        <f>'Gastos Fijos'!C11+'Gastos Fijos'!C12</f>
        <v>550000</v>
      </c>
      <c r="E11" s="105">
        <f>'Gastos Fijos'!C12+'Gastos Fijos'!C11</f>
        <v>550000</v>
      </c>
      <c r="F11" s="109">
        <f>E11*12</f>
        <v>6600000</v>
      </c>
      <c r="G11" s="89">
        <f t="shared" ref="G11:J15" si="2">(F11*$M$4)+F11</f>
        <v>7128000</v>
      </c>
      <c r="H11" s="105">
        <f t="shared" si="2"/>
        <v>7698240</v>
      </c>
      <c r="I11" s="103">
        <f t="shared" si="2"/>
        <v>8314099.2000000002</v>
      </c>
      <c r="J11" s="89">
        <f t="shared" si="2"/>
        <v>8979227.1359999999</v>
      </c>
      <c r="K11" s="90"/>
    </row>
    <row r="12" spans="2:13" s="78" customFormat="1" ht="17.25" customHeight="1">
      <c r="B12" s="114" t="s">
        <v>105</v>
      </c>
      <c r="C12" s="109">
        <f>'Gastos Fijos'!C13</f>
        <v>2000000</v>
      </c>
      <c r="D12" s="89">
        <f>'Gastos Fijos'!C13</f>
        <v>2000000</v>
      </c>
      <c r="E12" s="105">
        <f>'Gastos Fijos'!C13</f>
        <v>2000000</v>
      </c>
      <c r="F12" s="109">
        <f>E12*12</f>
        <v>24000000</v>
      </c>
      <c r="G12" s="89">
        <f t="shared" si="2"/>
        <v>25920000</v>
      </c>
      <c r="H12" s="105">
        <f t="shared" si="2"/>
        <v>27993600</v>
      </c>
      <c r="I12" s="103">
        <f t="shared" si="2"/>
        <v>30233088</v>
      </c>
      <c r="J12" s="89">
        <f t="shared" si="2"/>
        <v>32651735.039999999</v>
      </c>
      <c r="K12" s="90"/>
    </row>
    <row r="13" spans="2:13" s="78" customFormat="1" ht="17.25" hidden="1" customHeight="1">
      <c r="B13" s="114" t="s">
        <v>96</v>
      </c>
      <c r="C13" s="109">
        <f>'Gastos Fijos'!C14</f>
        <v>0</v>
      </c>
      <c r="D13" s="89">
        <f>'Gastos Fijos'!C14</f>
        <v>0</v>
      </c>
      <c r="E13" s="105">
        <f>'Gastos Fijos'!C14</f>
        <v>0</v>
      </c>
      <c r="F13" s="109">
        <f>E13*12</f>
        <v>0</v>
      </c>
      <c r="G13" s="89">
        <f t="shared" si="2"/>
        <v>0</v>
      </c>
      <c r="H13" s="105">
        <f t="shared" si="2"/>
        <v>0</v>
      </c>
      <c r="I13" s="103">
        <f t="shared" si="2"/>
        <v>0</v>
      </c>
      <c r="J13" s="89">
        <f t="shared" si="2"/>
        <v>0</v>
      </c>
      <c r="K13" s="90"/>
    </row>
    <row r="14" spans="2:13" s="78" customFormat="1" ht="17.25" customHeight="1">
      <c r="B14" s="114" t="s">
        <v>106</v>
      </c>
      <c r="C14" s="109">
        <f>'Gastos Fijos'!C15+'Gastos Fijos'!C16</f>
        <v>80000</v>
      </c>
      <c r="D14" s="89">
        <f>'Gastos Fijos'!C15+'Gastos Fijos'!C16</f>
        <v>80000</v>
      </c>
      <c r="E14" s="105">
        <f>'Gastos Fijos'!C15+'Gastos Fijos'!C16</f>
        <v>80000</v>
      </c>
      <c r="F14" s="109">
        <f>E14*12</f>
        <v>960000</v>
      </c>
      <c r="G14" s="89">
        <f t="shared" si="2"/>
        <v>1036800</v>
      </c>
      <c r="H14" s="105">
        <f t="shared" si="2"/>
        <v>1119744</v>
      </c>
      <c r="I14" s="103">
        <f t="shared" si="2"/>
        <v>1209323.52</v>
      </c>
      <c r="J14" s="89">
        <f t="shared" si="2"/>
        <v>1306069.4016</v>
      </c>
      <c r="K14" s="90"/>
    </row>
    <row r="15" spans="2:13" s="78" customFormat="1" ht="17.25" customHeight="1">
      <c r="B15" s="114" t="s">
        <v>130</v>
      </c>
      <c r="C15" s="109">
        <f>'Gastos Fijos'!C17+'Gastos Fijos'!C18</f>
        <v>1050000</v>
      </c>
      <c r="D15" s="89">
        <f>'Gastos Fijos'!C17+'Gastos Fijos'!C18</f>
        <v>1050000</v>
      </c>
      <c r="E15" s="105">
        <f>'Gastos Fijos'!C17+'Gastos Fijos'!C18</f>
        <v>1050000</v>
      </c>
      <c r="F15" s="109">
        <f>E15*12</f>
        <v>12600000</v>
      </c>
      <c r="G15" s="89">
        <f t="shared" si="2"/>
        <v>13608000</v>
      </c>
      <c r="H15" s="105">
        <f t="shared" si="2"/>
        <v>14696640</v>
      </c>
      <c r="I15" s="103">
        <f t="shared" si="2"/>
        <v>15872371.199999999</v>
      </c>
      <c r="J15" s="89">
        <f t="shared" si="2"/>
        <v>17142160.895999998</v>
      </c>
      <c r="K15" s="90"/>
    </row>
    <row r="16" spans="2:13" s="78" customFormat="1" ht="17.25" customHeight="1">
      <c r="B16" s="114" t="s">
        <v>127</v>
      </c>
      <c r="C16" s="109">
        <f>'Inversión Inicial'!I27/12</f>
        <v>275000</v>
      </c>
      <c r="D16" s="89">
        <f>'Inversión Inicial'!I27/12</f>
        <v>275000</v>
      </c>
      <c r="E16" s="105">
        <f>'Inversión Inicial'!J27/12</f>
        <v>666666.66666666663</v>
      </c>
      <c r="F16" s="109">
        <f>'Inversión Inicial'!I27</f>
        <v>3300000</v>
      </c>
      <c r="G16" s="89">
        <f>'Inversión Inicial'!J27</f>
        <v>8000000</v>
      </c>
      <c r="H16" s="105">
        <f>'Inversión Inicial'!K27</f>
        <v>12000000</v>
      </c>
      <c r="I16" s="103">
        <f>'Inversión Inicial'!L14</f>
        <v>12000000</v>
      </c>
      <c r="J16" s="89">
        <f>'Inversión Inicial'!M14</f>
        <v>12200000</v>
      </c>
    </row>
    <row r="17" spans="1:28" s="78" customFormat="1" ht="17.25" customHeight="1">
      <c r="B17" s="114" t="s">
        <v>108</v>
      </c>
      <c r="C17" s="109">
        <f t="shared" ref="C17:J17" si="3">SUM(C8:C16)</f>
        <v>15371324</v>
      </c>
      <c r="D17" s="89">
        <f t="shared" si="3"/>
        <v>15371324</v>
      </c>
      <c r="E17" s="105">
        <f t="shared" si="3"/>
        <v>15762990.666666666</v>
      </c>
      <c r="F17" s="109">
        <f t="shared" si="3"/>
        <v>184455888</v>
      </c>
      <c r="G17" s="89">
        <f>SUM(G8:G16)</f>
        <v>203648359.04000002</v>
      </c>
      <c r="H17" s="105">
        <f t="shared" si="3"/>
        <v>223300227.76320001</v>
      </c>
      <c r="I17" s="103" t="e">
        <f t="shared" si="3"/>
        <v>#REF!</v>
      </c>
      <c r="J17" s="89" t="e">
        <f t="shared" si="3"/>
        <v>#REF!</v>
      </c>
    </row>
    <row r="18" spans="1:28" s="78" customFormat="1" ht="17.25" customHeight="1">
      <c r="B18" s="113" t="s">
        <v>109</v>
      </c>
      <c r="C18" s="107">
        <f t="shared" ref="C18:J18" si="4">C7-C17</f>
        <v>313828676</v>
      </c>
      <c r="D18" s="95">
        <f t="shared" si="4"/>
        <v>203918676</v>
      </c>
      <c r="E18" s="108">
        <f t="shared" si="4"/>
        <v>164237009.33333334</v>
      </c>
      <c r="F18" s="110">
        <f t="shared" si="4"/>
        <v>3031486112</v>
      </c>
      <c r="G18" s="96">
        <f t="shared" si="4"/>
        <v>3173090740.96</v>
      </c>
      <c r="H18" s="111">
        <f t="shared" si="4"/>
        <v>3295261914.4368</v>
      </c>
      <c r="I18" s="104" t="e">
        <f t="shared" si="4"/>
        <v>#REF!</v>
      </c>
      <c r="J18" s="91" t="e">
        <f t="shared" si="4"/>
        <v>#REF!</v>
      </c>
    </row>
    <row r="19" spans="1:28" s="78" customFormat="1" ht="17.25" customHeight="1">
      <c r="B19" s="114" t="s">
        <v>86</v>
      </c>
      <c r="C19" s="109">
        <f>Financiación!$C$22+Financiación!$D$26</f>
        <v>396500</v>
      </c>
      <c r="D19" s="89">
        <f>Financiación!$D$27</f>
        <v>192695.23566242374</v>
      </c>
      <c r="E19" s="105">
        <f>Financiación!$D$28</f>
        <v>188815.70770561401</v>
      </c>
      <c r="F19" s="109">
        <v>0</v>
      </c>
      <c r="G19" s="89">
        <f>Financiación!$C$19</f>
        <v>2089686.9539854762</v>
      </c>
      <c r="H19" s="89">
        <f>Financiación!$C$19</f>
        <v>2089686.9539854762</v>
      </c>
      <c r="I19" s="103">
        <f>Financiación!$E$19</f>
        <v>546915.22877212311</v>
      </c>
      <c r="J19" s="89">
        <f>Financiación!$F$19</f>
        <v>0</v>
      </c>
    </row>
    <row r="20" spans="1:28" s="78" customFormat="1" ht="17.25" customHeight="1">
      <c r="B20" s="113" t="s">
        <v>87</v>
      </c>
      <c r="C20" s="107">
        <f t="shared" ref="C20:E20" si="5">C18-C19</f>
        <v>313432176</v>
      </c>
      <c r="D20" s="95">
        <f t="shared" si="5"/>
        <v>203725980.76433757</v>
      </c>
      <c r="E20" s="108">
        <f t="shared" si="5"/>
        <v>164048193.62562773</v>
      </c>
      <c r="F20" s="110">
        <f>F18-F19</f>
        <v>3031486112</v>
      </c>
      <c r="G20" s="96">
        <f>G18-G19</f>
        <v>3171001054.0060143</v>
      </c>
      <c r="H20" s="111">
        <f>H18-H19</f>
        <v>3293172227.4828143</v>
      </c>
      <c r="I20" s="104" t="e">
        <f>I18-I19</f>
        <v>#REF!</v>
      </c>
      <c r="J20" s="91" t="e">
        <f>J18-J19</f>
        <v>#REF!</v>
      </c>
    </row>
    <row r="21" spans="1:28" s="78" customFormat="1" ht="17.25" customHeight="1">
      <c r="A21" s="210">
        <v>0.19</v>
      </c>
      <c r="B21" s="114" t="s">
        <v>142</v>
      </c>
      <c r="C21" s="109">
        <f t="shared" ref="C21:E21" si="6">C20*33%</f>
        <v>103432618.08</v>
      </c>
      <c r="D21" s="89">
        <f t="shared" si="6"/>
        <v>67229573.652231395</v>
      </c>
      <c r="E21" s="105">
        <f t="shared" si="6"/>
        <v>54135903.896457151</v>
      </c>
      <c r="F21" s="109">
        <f>F5*$A$21</f>
        <v>837026000</v>
      </c>
      <c r="G21" s="89">
        <f t="shared" ref="G21:H21" si="7">G5*$A$21</f>
        <v>878877300</v>
      </c>
      <c r="H21" s="105">
        <f t="shared" si="7"/>
        <v>915790146.60000002</v>
      </c>
      <c r="I21" s="103" t="e">
        <f t="shared" ref="I21" si="8">I20*35%</f>
        <v>#REF!</v>
      </c>
      <c r="J21" s="89" t="e">
        <f>J20*35%</f>
        <v>#REF!</v>
      </c>
      <c r="L21" s="97"/>
    </row>
    <row r="22" spans="1:28" s="78" customFormat="1" ht="17.25" customHeight="1">
      <c r="A22" s="210">
        <f>40%-A21</f>
        <v>0.21000000000000002</v>
      </c>
      <c r="B22" s="114" t="s">
        <v>143</v>
      </c>
      <c r="C22" s="109">
        <v>0</v>
      </c>
      <c r="D22" s="89">
        <v>0</v>
      </c>
      <c r="E22" s="105">
        <v>0</v>
      </c>
      <c r="F22" s="109">
        <f>F5*$A$22</f>
        <v>925134000.00000012</v>
      </c>
      <c r="G22" s="89">
        <f t="shared" ref="G22:H22" si="9">G5*$A$22</f>
        <v>971390700.00000012</v>
      </c>
      <c r="H22" s="105">
        <f t="shared" si="9"/>
        <v>1012189109.4000001</v>
      </c>
      <c r="I22" s="103"/>
      <c r="J22" s="89"/>
      <c r="L22" s="97"/>
    </row>
    <row r="23" spans="1:28" s="78" customFormat="1" ht="17.25" customHeight="1" thickBot="1">
      <c r="B23" s="124" t="s">
        <v>195</v>
      </c>
      <c r="C23" s="125">
        <f t="shared" ref="C23:J23" si="10">C20-C21</f>
        <v>209999557.92000002</v>
      </c>
      <c r="D23" s="126">
        <f t="shared" si="10"/>
        <v>136496407.11210617</v>
      </c>
      <c r="E23" s="127">
        <f t="shared" si="10"/>
        <v>109912289.72917058</v>
      </c>
      <c r="F23" s="128">
        <f t="shared" si="10"/>
        <v>2194460112</v>
      </c>
      <c r="G23" s="129">
        <f t="shared" si="10"/>
        <v>2292123754.0060143</v>
      </c>
      <c r="H23" s="130">
        <f t="shared" si="10"/>
        <v>2377382080.8828144</v>
      </c>
      <c r="I23" s="104" t="e">
        <f t="shared" si="10"/>
        <v>#REF!</v>
      </c>
      <c r="J23" s="91" t="e">
        <f t="shared" si="10"/>
        <v>#REF!</v>
      </c>
    </row>
    <row r="25" spans="1:28" ht="24" thickBot="1">
      <c r="L25" s="279" t="s">
        <v>307</v>
      </c>
      <c r="M25" s="279"/>
      <c r="N25" s="279"/>
      <c r="O25" s="279"/>
      <c r="P25" s="279"/>
      <c r="Q25" s="279"/>
      <c r="R25" s="279"/>
      <c r="S25" s="279"/>
      <c r="U25" s="279" t="s">
        <v>307</v>
      </c>
      <c r="V25" s="279"/>
      <c r="W25" s="279"/>
      <c r="X25" s="279"/>
      <c r="Y25" s="279"/>
      <c r="Z25" s="279"/>
      <c r="AA25" s="279"/>
      <c r="AB25" s="279"/>
    </row>
    <row r="26" spans="1:28" ht="112.05" customHeight="1" thickBot="1">
      <c r="L26" s="291" t="s">
        <v>321</v>
      </c>
      <c r="M26" s="292"/>
      <c r="N26" s="292"/>
      <c r="O26" s="292"/>
      <c r="P26" s="292"/>
      <c r="Q26" s="292"/>
      <c r="R26" s="292"/>
      <c r="S26" s="293"/>
      <c r="U26" s="291" t="s">
        <v>322</v>
      </c>
      <c r="V26" s="292"/>
      <c r="W26" s="292"/>
      <c r="X26" s="292"/>
      <c r="Y26" s="292"/>
      <c r="Z26" s="292"/>
      <c r="AA26" s="292"/>
      <c r="AB26" s="293"/>
    </row>
    <row r="27" spans="1:28" ht="210" customHeight="1" thickBot="1">
      <c r="L27" s="283"/>
      <c r="M27" s="284"/>
      <c r="N27" s="284"/>
      <c r="O27" s="284"/>
      <c r="P27" s="284"/>
      <c r="Q27" s="284"/>
      <c r="R27" s="284"/>
      <c r="S27" s="285"/>
      <c r="U27" s="283"/>
      <c r="V27" s="284"/>
      <c r="W27" s="284"/>
      <c r="X27" s="284"/>
      <c r="Y27" s="284"/>
      <c r="Z27" s="284"/>
      <c r="AA27" s="284"/>
      <c r="AB27" s="285"/>
    </row>
    <row r="28" spans="1:28" ht="139.94999999999999" customHeight="1"/>
  </sheetData>
  <protectedRanges>
    <protectedRange sqref="K6:K15" name="costes fijos"/>
    <protectedRange sqref="K6:K13" name="Meses"/>
  </protectedRanges>
  <mergeCells count="7">
    <mergeCell ref="B2:H2"/>
    <mergeCell ref="L27:S27"/>
    <mergeCell ref="L25:S25"/>
    <mergeCell ref="U25:AB25"/>
    <mergeCell ref="L26:S26"/>
    <mergeCell ref="U26:AB26"/>
    <mergeCell ref="U27:AB27"/>
  </mergeCells>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8">
    <tabColor rgb="FF00B0F0"/>
  </sheetPr>
  <dimension ref="B1:J55"/>
  <sheetViews>
    <sheetView topLeftCell="A40" zoomScale="86" zoomScaleNormal="130" workbookViewId="0">
      <selection activeCell="K60" sqref="K60"/>
    </sheetView>
  </sheetViews>
  <sheetFormatPr baseColWidth="10" defaultRowHeight="13.8"/>
  <cols>
    <col min="1" max="1" width="2.44140625" style="1" customWidth="1"/>
    <col min="2" max="2" width="34.44140625" style="1" customWidth="1"/>
    <col min="3" max="3" width="14.109375" style="1" bestFit="1" customWidth="1"/>
    <col min="4" max="4" width="11.44140625" style="1"/>
    <col min="5" max="5" width="13.44140625" style="1" customWidth="1"/>
    <col min="6" max="6" width="4" style="1" customWidth="1"/>
    <col min="7" max="7" width="17.44140625" style="1" customWidth="1"/>
    <col min="8" max="8" width="16.77734375" style="1" customWidth="1"/>
    <col min="9" max="9" width="18.109375" style="1" bestFit="1" customWidth="1"/>
    <col min="10" max="10" width="16.77734375" style="1" customWidth="1"/>
    <col min="11" max="12" width="16.44140625" style="1" customWidth="1"/>
    <col min="13" max="13" width="2" style="1" customWidth="1"/>
    <col min="14" max="14" width="11.44140625" style="1" bestFit="1" customWidth="1"/>
    <col min="15" max="16" width="12.44140625" style="1" bestFit="1" customWidth="1"/>
    <col min="17" max="257" width="11.44140625" style="1"/>
    <col min="258" max="258" width="27.44140625" style="1" customWidth="1"/>
    <col min="259" max="263" width="11.44140625" style="1"/>
    <col min="264" max="264" width="20.109375" style="1" customWidth="1"/>
    <col min="265" max="265" width="13.77734375" style="1" customWidth="1"/>
    <col min="266" max="266" width="14.109375" style="1" customWidth="1"/>
    <col min="267" max="268" width="16.44140625" style="1" customWidth="1"/>
    <col min="269" max="269" width="2" style="1" customWidth="1"/>
    <col min="270" max="270" width="11.44140625" style="1" bestFit="1" customWidth="1"/>
    <col min="271" max="272" width="12.44140625" style="1" bestFit="1" customWidth="1"/>
    <col min="273" max="513" width="11.44140625" style="1"/>
    <col min="514" max="514" width="27.44140625" style="1" customWidth="1"/>
    <col min="515" max="519" width="11.44140625" style="1"/>
    <col min="520" max="520" width="20.109375" style="1" customWidth="1"/>
    <col min="521" max="521" width="13.77734375" style="1" customWidth="1"/>
    <col min="522" max="522" width="14.109375" style="1" customWidth="1"/>
    <col min="523" max="524" width="16.44140625" style="1" customWidth="1"/>
    <col min="525" max="525" width="2" style="1" customWidth="1"/>
    <col min="526" max="526" width="11.44140625" style="1" bestFit="1" customWidth="1"/>
    <col min="527" max="528" width="12.44140625" style="1" bestFit="1" customWidth="1"/>
    <col min="529" max="769" width="11.44140625" style="1"/>
    <col min="770" max="770" width="27.44140625" style="1" customWidth="1"/>
    <col min="771" max="775" width="11.44140625" style="1"/>
    <col min="776" max="776" width="20.109375" style="1" customWidth="1"/>
    <col min="777" max="777" width="13.77734375" style="1" customWidth="1"/>
    <col min="778" max="778" width="14.109375" style="1" customWidth="1"/>
    <col min="779" max="780" width="16.44140625" style="1" customWidth="1"/>
    <col min="781" max="781" width="2" style="1" customWidth="1"/>
    <col min="782" max="782" width="11.44140625" style="1" bestFit="1" customWidth="1"/>
    <col min="783" max="784" width="12.44140625" style="1" bestFit="1" customWidth="1"/>
    <col min="785" max="1025" width="11.44140625" style="1"/>
    <col min="1026" max="1026" width="27.44140625" style="1" customWidth="1"/>
    <col min="1027" max="1031" width="11.44140625" style="1"/>
    <col min="1032" max="1032" width="20.109375" style="1" customWidth="1"/>
    <col min="1033" max="1033" width="13.77734375" style="1" customWidth="1"/>
    <col min="1034" max="1034" width="14.109375" style="1" customWidth="1"/>
    <col min="1035" max="1036" width="16.44140625" style="1" customWidth="1"/>
    <col min="1037" max="1037" width="2" style="1" customWidth="1"/>
    <col min="1038" max="1038" width="11.44140625" style="1" bestFit="1" customWidth="1"/>
    <col min="1039" max="1040" width="12.44140625" style="1" bestFit="1" customWidth="1"/>
    <col min="1041" max="1281" width="11.44140625" style="1"/>
    <col min="1282" max="1282" width="27.44140625" style="1" customWidth="1"/>
    <col min="1283" max="1287" width="11.44140625" style="1"/>
    <col min="1288" max="1288" width="20.109375" style="1" customWidth="1"/>
    <col min="1289" max="1289" width="13.77734375" style="1" customWidth="1"/>
    <col min="1290" max="1290" width="14.109375" style="1" customWidth="1"/>
    <col min="1291" max="1292" width="16.44140625" style="1" customWidth="1"/>
    <col min="1293" max="1293" width="2" style="1" customWidth="1"/>
    <col min="1294" max="1294" width="11.44140625" style="1" bestFit="1" customWidth="1"/>
    <col min="1295" max="1296" width="12.44140625" style="1" bestFit="1" customWidth="1"/>
    <col min="1297" max="1537" width="11.44140625" style="1"/>
    <col min="1538" max="1538" width="27.44140625" style="1" customWidth="1"/>
    <col min="1539" max="1543" width="11.44140625" style="1"/>
    <col min="1544" max="1544" width="20.109375" style="1" customWidth="1"/>
    <col min="1545" max="1545" width="13.77734375" style="1" customWidth="1"/>
    <col min="1546" max="1546" width="14.109375" style="1" customWidth="1"/>
    <col min="1547" max="1548" width="16.44140625" style="1" customWidth="1"/>
    <col min="1549" max="1549" width="2" style="1" customWidth="1"/>
    <col min="1550" max="1550" width="11.44140625" style="1" bestFit="1" customWidth="1"/>
    <col min="1551" max="1552" width="12.44140625" style="1" bestFit="1" customWidth="1"/>
    <col min="1553" max="1793" width="11.44140625" style="1"/>
    <col min="1794" max="1794" width="27.44140625" style="1" customWidth="1"/>
    <col min="1795" max="1799" width="11.44140625" style="1"/>
    <col min="1800" max="1800" width="20.109375" style="1" customWidth="1"/>
    <col min="1801" max="1801" width="13.77734375" style="1" customWidth="1"/>
    <col min="1802" max="1802" width="14.109375" style="1" customWidth="1"/>
    <col min="1803" max="1804" width="16.44140625" style="1" customWidth="1"/>
    <col min="1805" max="1805" width="2" style="1" customWidth="1"/>
    <col min="1806" max="1806" width="11.44140625" style="1" bestFit="1" customWidth="1"/>
    <col min="1807" max="1808" width="12.44140625" style="1" bestFit="1" customWidth="1"/>
    <col min="1809" max="2049" width="11.44140625" style="1"/>
    <col min="2050" max="2050" width="27.44140625" style="1" customWidth="1"/>
    <col min="2051" max="2055" width="11.44140625" style="1"/>
    <col min="2056" max="2056" width="20.109375" style="1" customWidth="1"/>
    <col min="2057" max="2057" width="13.77734375" style="1" customWidth="1"/>
    <col min="2058" max="2058" width="14.109375" style="1" customWidth="1"/>
    <col min="2059" max="2060" width="16.44140625" style="1" customWidth="1"/>
    <col min="2061" max="2061" width="2" style="1" customWidth="1"/>
    <col min="2062" max="2062" width="11.44140625" style="1" bestFit="1" customWidth="1"/>
    <col min="2063" max="2064" width="12.44140625" style="1" bestFit="1" customWidth="1"/>
    <col min="2065" max="2305" width="11.44140625" style="1"/>
    <col min="2306" max="2306" width="27.44140625" style="1" customWidth="1"/>
    <col min="2307" max="2311" width="11.44140625" style="1"/>
    <col min="2312" max="2312" width="20.109375" style="1" customWidth="1"/>
    <col min="2313" max="2313" width="13.77734375" style="1" customWidth="1"/>
    <col min="2314" max="2314" width="14.109375" style="1" customWidth="1"/>
    <col min="2315" max="2316" width="16.44140625" style="1" customWidth="1"/>
    <col min="2317" max="2317" width="2" style="1" customWidth="1"/>
    <col min="2318" max="2318" width="11.44140625" style="1" bestFit="1" customWidth="1"/>
    <col min="2319" max="2320" width="12.44140625" style="1" bestFit="1" customWidth="1"/>
    <col min="2321" max="2561" width="11.44140625" style="1"/>
    <col min="2562" max="2562" width="27.44140625" style="1" customWidth="1"/>
    <col min="2563" max="2567" width="11.44140625" style="1"/>
    <col min="2568" max="2568" width="20.109375" style="1" customWidth="1"/>
    <col min="2569" max="2569" width="13.77734375" style="1" customWidth="1"/>
    <col min="2570" max="2570" width="14.109375" style="1" customWidth="1"/>
    <col min="2571" max="2572" width="16.44140625" style="1" customWidth="1"/>
    <col min="2573" max="2573" width="2" style="1" customWidth="1"/>
    <col min="2574" max="2574" width="11.44140625" style="1" bestFit="1" customWidth="1"/>
    <col min="2575" max="2576" width="12.44140625" style="1" bestFit="1" customWidth="1"/>
    <col min="2577" max="2817" width="11.44140625" style="1"/>
    <col min="2818" max="2818" width="27.44140625" style="1" customWidth="1"/>
    <col min="2819" max="2823" width="11.44140625" style="1"/>
    <col min="2824" max="2824" width="20.109375" style="1" customWidth="1"/>
    <col min="2825" max="2825" width="13.77734375" style="1" customWidth="1"/>
    <col min="2826" max="2826" width="14.109375" style="1" customWidth="1"/>
    <col min="2827" max="2828" width="16.44140625" style="1" customWidth="1"/>
    <col min="2829" max="2829" width="2" style="1" customWidth="1"/>
    <col min="2830" max="2830" width="11.44140625" style="1" bestFit="1" customWidth="1"/>
    <col min="2831" max="2832" width="12.44140625" style="1" bestFit="1" customWidth="1"/>
    <col min="2833" max="3073" width="11.44140625" style="1"/>
    <col min="3074" max="3074" width="27.44140625" style="1" customWidth="1"/>
    <col min="3075" max="3079" width="11.44140625" style="1"/>
    <col min="3080" max="3080" width="20.109375" style="1" customWidth="1"/>
    <col min="3081" max="3081" width="13.77734375" style="1" customWidth="1"/>
    <col min="3082" max="3082" width="14.109375" style="1" customWidth="1"/>
    <col min="3083" max="3084" width="16.44140625" style="1" customWidth="1"/>
    <col min="3085" max="3085" width="2" style="1" customWidth="1"/>
    <col min="3086" max="3086" width="11.44140625" style="1" bestFit="1" customWidth="1"/>
    <col min="3087" max="3088" width="12.44140625" style="1" bestFit="1" customWidth="1"/>
    <col min="3089" max="3329" width="11.44140625" style="1"/>
    <col min="3330" max="3330" width="27.44140625" style="1" customWidth="1"/>
    <col min="3331" max="3335" width="11.44140625" style="1"/>
    <col min="3336" max="3336" width="20.109375" style="1" customWidth="1"/>
    <col min="3337" max="3337" width="13.77734375" style="1" customWidth="1"/>
    <col min="3338" max="3338" width="14.109375" style="1" customWidth="1"/>
    <col min="3339" max="3340" width="16.44140625" style="1" customWidth="1"/>
    <col min="3341" max="3341" width="2" style="1" customWidth="1"/>
    <col min="3342" max="3342" width="11.44140625" style="1" bestFit="1" customWidth="1"/>
    <col min="3343" max="3344" width="12.44140625" style="1" bestFit="1" customWidth="1"/>
    <col min="3345" max="3585" width="11.44140625" style="1"/>
    <col min="3586" max="3586" width="27.44140625" style="1" customWidth="1"/>
    <col min="3587" max="3591" width="11.44140625" style="1"/>
    <col min="3592" max="3592" width="20.109375" style="1" customWidth="1"/>
    <col min="3593" max="3593" width="13.77734375" style="1" customWidth="1"/>
    <col min="3594" max="3594" width="14.109375" style="1" customWidth="1"/>
    <col min="3595" max="3596" width="16.44140625" style="1" customWidth="1"/>
    <col min="3597" max="3597" width="2" style="1" customWidth="1"/>
    <col min="3598" max="3598" width="11.44140625" style="1" bestFit="1" customWidth="1"/>
    <col min="3599" max="3600" width="12.44140625" style="1" bestFit="1" customWidth="1"/>
    <col min="3601" max="3841" width="11.44140625" style="1"/>
    <col min="3842" max="3842" width="27.44140625" style="1" customWidth="1"/>
    <col min="3843" max="3847" width="11.44140625" style="1"/>
    <col min="3848" max="3848" width="20.109375" style="1" customWidth="1"/>
    <col min="3849" max="3849" width="13.77734375" style="1" customWidth="1"/>
    <col min="3850" max="3850" width="14.109375" style="1" customWidth="1"/>
    <col min="3851" max="3852" width="16.44140625" style="1" customWidth="1"/>
    <col min="3853" max="3853" width="2" style="1" customWidth="1"/>
    <col min="3854" max="3854" width="11.44140625" style="1" bestFit="1" customWidth="1"/>
    <col min="3855" max="3856" width="12.44140625" style="1" bestFit="1" customWidth="1"/>
    <col min="3857" max="4097" width="11.44140625" style="1"/>
    <col min="4098" max="4098" width="27.44140625" style="1" customWidth="1"/>
    <col min="4099" max="4103" width="11.44140625" style="1"/>
    <col min="4104" max="4104" width="20.109375" style="1" customWidth="1"/>
    <col min="4105" max="4105" width="13.77734375" style="1" customWidth="1"/>
    <col min="4106" max="4106" width="14.109375" style="1" customWidth="1"/>
    <col min="4107" max="4108" width="16.44140625" style="1" customWidth="1"/>
    <col min="4109" max="4109" width="2" style="1" customWidth="1"/>
    <col min="4110" max="4110" width="11.44140625" style="1" bestFit="1" customWidth="1"/>
    <col min="4111" max="4112" width="12.44140625" style="1" bestFit="1" customWidth="1"/>
    <col min="4113" max="4353" width="11.44140625" style="1"/>
    <col min="4354" max="4354" width="27.44140625" style="1" customWidth="1"/>
    <col min="4355" max="4359" width="11.44140625" style="1"/>
    <col min="4360" max="4360" width="20.109375" style="1" customWidth="1"/>
    <col min="4361" max="4361" width="13.77734375" style="1" customWidth="1"/>
    <col min="4362" max="4362" width="14.109375" style="1" customWidth="1"/>
    <col min="4363" max="4364" width="16.44140625" style="1" customWidth="1"/>
    <col min="4365" max="4365" width="2" style="1" customWidth="1"/>
    <col min="4366" max="4366" width="11.44140625" style="1" bestFit="1" customWidth="1"/>
    <col min="4367" max="4368" width="12.44140625" style="1" bestFit="1" customWidth="1"/>
    <col min="4369" max="4609" width="11.44140625" style="1"/>
    <col min="4610" max="4610" width="27.44140625" style="1" customWidth="1"/>
    <col min="4611" max="4615" width="11.44140625" style="1"/>
    <col min="4616" max="4616" width="20.109375" style="1" customWidth="1"/>
    <col min="4617" max="4617" width="13.77734375" style="1" customWidth="1"/>
    <col min="4618" max="4618" width="14.109375" style="1" customWidth="1"/>
    <col min="4619" max="4620" width="16.44140625" style="1" customWidth="1"/>
    <col min="4621" max="4621" width="2" style="1" customWidth="1"/>
    <col min="4622" max="4622" width="11.44140625" style="1" bestFit="1" customWidth="1"/>
    <col min="4623" max="4624" width="12.44140625" style="1" bestFit="1" customWidth="1"/>
    <col min="4625" max="4865" width="11.44140625" style="1"/>
    <col min="4866" max="4866" width="27.44140625" style="1" customWidth="1"/>
    <col min="4867" max="4871" width="11.44140625" style="1"/>
    <col min="4872" max="4872" width="20.109375" style="1" customWidth="1"/>
    <col min="4873" max="4873" width="13.77734375" style="1" customWidth="1"/>
    <col min="4874" max="4874" width="14.109375" style="1" customWidth="1"/>
    <col min="4875" max="4876" width="16.44140625" style="1" customWidth="1"/>
    <col min="4877" max="4877" width="2" style="1" customWidth="1"/>
    <col min="4878" max="4878" width="11.44140625" style="1" bestFit="1" customWidth="1"/>
    <col min="4879" max="4880" width="12.44140625" style="1" bestFit="1" customWidth="1"/>
    <col min="4881" max="5121" width="11.44140625" style="1"/>
    <col min="5122" max="5122" width="27.44140625" style="1" customWidth="1"/>
    <col min="5123" max="5127" width="11.44140625" style="1"/>
    <col min="5128" max="5128" width="20.109375" style="1" customWidth="1"/>
    <col min="5129" max="5129" width="13.77734375" style="1" customWidth="1"/>
    <col min="5130" max="5130" width="14.109375" style="1" customWidth="1"/>
    <col min="5131" max="5132" width="16.44140625" style="1" customWidth="1"/>
    <col min="5133" max="5133" width="2" style="1" customWidth="1"/>
    <col min="5134" max="5134" width="11.44140625" style="1" bestFit="1" customWidth="1"/>
    <col min="5135" max="5136" width="12.44140625" style="1" bestFit="1" customWidth="1"/>
    <col min="5137" max="5377" width="11.44140625" style="1"/>
    <col min="5378" max="5378" width="27.44140625" style="1" customWidth="1"/>
    <col min="5379" max="5383" width="11.44140625" style="1"/>
    <col min="5384" max="5384" width="20.109375" style="1" customWidth="1"/>
    <col min="5385" max="5385" width="13.77734375" style="1" customWidth="1"/>
    <col min="5386" max="5386" width="14.109375" style="1" customWidth="1"/>
    <col min="5387" max="5388" width="16.44140625" style="1" customWidth="1"/>
    <col min="5389" max="5389" width="2" style="1" customWidth="1"/>
    <col min="5390" max="5390" width="11.44140625" style="1" bestFit="1" customWidth="1"/>
    <col min="5391" max="5392" width="12.44140625" style="1" bestFit="1" customWidth="1"/>
    <col min="5393" max="5633" width="11.44140625" style="1"/>
    <col min="5634" max="5634" width="27.44140625" style="1" customWidth="1"/>
    <col min="5635" max="5639" width="11.44140625" style="1"/>
    <col min="5640" max="5640" width="20.109375" style="1" customWidth="1"/>
    <col min="5641" max="5641" width="13.77734375" style="1" customWidth="1"/>
    <col min="5642" max="5642" width="14.109375" style="1" customWidth="1"/>
    <col min="5643" max="5644" width="16.44140625" style="1" customWidth="1"/>
    <col min="5645" max="5645" width="2" style="1" customWidth="1"/>
    <col min="5646" max="5646" width="11.44140625" style="1" bestFit="1" customWidth="1"/>
    <col min="5647" max="5648" width="12.44140625" style="1" bestFit="1" customWidth="1"/>
    <col min="5649" max="5889" width="11.44140625" style="1"/>
    <col min="5890" max="5890" width="27.44140625" style="1" customWidth="1"/>
    <col min="5891" max="5895" width="11.44140625" style="1"/>
    <col min="5896" max="5896" width="20.109375" style="1" customWidth="1"/>
    <col min="5897" max="5897" width="13.77734375" style="1" customWidth="1"/>
    <col min="5898" max="5898" width="14.109375" style="1" customWidth="1"/>
    <col min="5899" max="5900" width="16.44140625" style="1" customWidth="1"/>
    <col min="5901" max="5901" width="2" style="1" customWidth="1"/>
    <col min="5902" max="5902" width="11.44140625" style="1" bestFit="1" customWidth="1"/>
    <col min="5903" max="5904" width="12.44140625" style="1" bestFit="1" customWidth="1"/>
    <col min="5905" max="6145" width="11.44140625" style="1"/>
    <col min="6146" max="6146" width="27.44140625" style="1" customWidth="1"/>
    <col min="6147" max="6151" width="11.44140625" style="1"/>
    <col min="6152" max="6152" width="20.109375" style="1" customWidth="1"/>
    <col min="6153" max="6153" width="13.77734375" style="1" customWidth="1"/>
    <col min="6154" max="6154" width="14.109375" style="1" customWidth="1"/>
    <col min="6155" max="6156" width="16.44140625" style="1" customWidth="1"/>
    <col min="6157" max="6157" width="2" style="1" customWidth="1"/>
    <col min="6158" max="6158" width="11.44140625" style="1" bestFit="1" customWidth="1"/>
    <col min="6159" max="6160" width="12.44140625" style="1" bestFit="1" customWidth="1"/>
    <col min="6161" max="6401" width="11.44140625" style="1"/>
    <col min="6402" max="6402" width="27.44140625" style="1" customWidth="1"/>
    <col min="6403" max="6407" width="11.44140625" style="1"/>
    <col min="6408" max="6408" width="20.109375" style="1" customWidth="1"/>
    <col min="6409" max="6409" width="13.77734375" style="1" customWidth="1"/>
    <col min="6410" max="6410" width="14.109375" style="1" customWidth="1"/>
    <col min="6411" max="6412" width="16.44140625" style="1" customWidth="1"/>
    <col min="6413" max="6413" width="2" style="1" customWidth="1"/>
    <col min="6414" max="6414" width="11.44140625" style="1" bestFit="1" customWidth="1"/>
    <col min="6415" max="6416" width="12.44140625" style="1" bestFit="1" customWidth="1"/>
    <col min="6417" max="6657" width="11.44140625" style="1"/>
    <col min="6658" max="6658" width="27.44140625" style="1" customWidth="1"/>
    <col min="6659" max="6663" width="11.44140625" style="1"/>
    <col min="6664" max="6664" width="20.109375" style="1" customWidth="1"/>
    <col min="6665" max="6665" width="13.77734375" style="1" customWidth="1"/>
    <col min="6666" max="6666" width="14.109375" style="1" customWidth="1"/>
    <col min="6667" max="6668" width="16.44140625" style="1" customWidth="1"/>
    <col min="6669" max="6669" width="2" style="1" customWidth="1"/>
    <col min="6670" max="6670" width="11.44140625" style="1" bestFit="1" customWidth="1"/>
    <col min="6671" max="6672" width="12.44140625" style="1" bestFit="1" customWidth="1"/>
    <col min="6673" max="6913" width="11.44140625" style="1"/>
    <col min="6914" max="6914" width="27.44140625" style="1" customWidth="1"/>
    <col min="6915" max="6919" width="11.44140625" style="1"/>
    <col min="6920" max="6920" width="20.109375" style="1" customWidth="1"/>
    <col min="6921" max="6921" width="13.77734375" style="1" customWidth="1"/>
    <col min="6922" max="6922" width="14.109375" style="1" customWidth="1"/>
    <col min="6923" max="6924" width="16.44140625" style="1" customWidth="1"/>
    <col min="6925" max="6925" width="2" style="1" customWidth="1"/>
    <col min="6926" max="6926" width="11.44140625" style="1" bestFit="1" customWidth="1"/>
    <col min="6927" max="6928" width="12.44140625" style="1" bestFit="1" customWidth="1"/>
    <col min="6929" max="7169" width="11.44140625" style="1"/>
    <col min="7170" max="7170" width="27.44140625" style="1" customWidth="1"/>
    <col min="7171" max="7175" width="11.44140625" style="1"/>
    <col min="7176" max="7176" width="20.109375" style="1" customWidth="1"/>
    <col min="7177" max="7177" width="13.77734375" style="1" customWidth="1"/>
    <col min="7178" max="7178" width="14.109375" style="1" customWidth="1"/>
    <col min="7179" max="7180" width="16.44140625" style="1" customWidth="1"/>
    <col min="7181" max="7181" width="2" style="1" customWidth="1"/>
    <col min="7182" max="7182" width="11.44140625" style="1" bestFit="1" customWidth="1"/>
    <col min="7183" max="7184" width="12.44140625" style="1" bestFit="1" customWidth="1"/>
    <col min="7185" max="7425" width="11.44140625" style="1"/>
    <col min="7426" max="7426" width="27.44140625" style="1" customWidth="1"/>
    <col min="7427" max="7431" width="11.44140625" style="1"/>
    <col min="7432" max="7432" width="20.109375" style="1" customWidth="1"/>
    <col min="7433" max="7433" width="13.77734375" style="1" customWidth="1"/>
    <col min="7434" max="7434" width="14.109375" style="1" customWidth="1"/>
    <col min="7435" max="7436" width="16.44140625" style="1" customWidth="1"/>
    <col min="7437" max="7437" width="2" style="1" customWidth="1"/>
    <col min="7438" max="7438" width="11.44140625" style="1" bestFit="1" customWidth="1"/>
    <col min="7439" max="7440" width="12.44140625" style="1" bestFit="1" customWidth="1"/>
    <col min="7441" max="7681" width="11.44140625" style="1"/>
    <col min="7682" max="7682" width="27.44140625" style="1" customWidth="1"/>
    <col min="7683" max="7687" width="11.44140625" style="1"/>
    <col min="7688" max="7688" width="20.109375" style="1" customWidth="1"/>
    <col min="7689" max="7689" width="13.77734375" style="1" customWidth="1"/>
    <col min="7690" max="7690" width="14.109375" style="1" customWidth="1"/>
    <col min="7691" max="7692" width="16.44140625" style="1" customWidth="1"/>
    <col min="7693" max="7693" width="2" style="1" customWidth="1"/>
    <col min="7694" max="7694" width="11.44140625" style="1" bestFit="1" customWidth="1"/>
    <col min="7695" max="7696" width="12.44140625" style="1" bestFit="1" customWidth="1"/>
    <col min="7697" max="7937" width="11.44140625" style="1"/>
    <col min="7938" max="7938" width="27.44140625" style="1" customWidth="1"/>
    <col min="7939" max="7943" width="11.44140625" style="1"/>
    <col min="7944" max="7944" width="20.109375" style="1" customWidth="1"/>
    <col min="7945" max="7945" width="13.77734375" style="1" customWidth="1"/>
    <col min="7946" max="7946" width="14.109375" style="1" customWidth="1"/>
    <col min="7947" max="7948" width="16.44140625" style="1" customWidth="1"/>
    <col min="7949" max="7949" width="2" style="1" customWidth="1"/>
    <col min="7950" max="7950" width="11.44140625" style="1" bestFit="1" customWidth="1"/>
    <col min="7951" max="7952" width="12.44140625" style="1" bestFit="1" customWidth="1"/>
    <col min="7953" max="8193" width="11.44140625" style="1"/>
    <col min="8194" max="8194" width="27.44140625" style="1" customWidth="1"/>
    <col min="8195" max="8199" width="11.44140625" style="1"/>
    <col min="8200" max="8200" width="20.109375" style="1" customWidth="1"/>
    <col min="8201" max="8201" width="13.77734375" style="1" customWidth="1"/>
    <col min="8202" max="8202" width="14.109375" style="1" customWidth="1"/>
    <col min="8203" max="8204" width="16.44140625" style="1" customWidth="1"/>
    <col min="8205" max="8205" width="2" style="1" customWidth="1"/>
    <col min="8206" max="8206" width="11.44140625" style="1" bestFit="1" customWidth="1"/>
    <col min="8207" max="8208" width="12.44140625" style="1" bestFit="1" customWidth="1"/>
    <col min="8209" max="8449" width="11.44140625" style="1"/>
    <col min="8450" max="8450" width="27.44140625" style="1" customWidth="1"/>
    <col min="8451" max="8455" width="11.44140625" style="1"/>
    <col min="8456" max="8456" width="20.109375" style="1" customWidth="1"/>
    <col min="8457" max="8457" width="13.77734375" style="1" customWidth="1"/>
    <col min="8458" max="8458" width="14.109375" style="1" customWidth="1"/>
    <col min="8459" max="8460" width="16.44140625" style="1" customWidth="1"/>
    <col min="8461" max="8461" width="2" style="1" customWidth="1"/>
    <col min="8462" max="8462" width="11.44140625" style="1" bestFit="1" customWidth="1"/>
    <col min="8463" max="8464" width="12.44140625" style="1" bestFit="1" customWidth="1"/>
    <col min="8465" max="8705" width="11.44140625" style="1"/>
    <col min="8706" max="8706" width="27.44140625" style="1" customWidth="1"/>
    <col min="8707" max="8711" width="11.44140625" style="1"/>
    <col min="8712" max="8712" width="20.109375" style="1" customWidth="1"/>
    <col min="8713" max="8713" width="13.77734375" style="1" customWidth="1"/>
    <col min="8714" max="8714" width="14.109375" style="1" customWidth="1"/>
    <col min="8715" max="8716" width="16.44140625" style="1" customWidth="1"/>
    <col min="8717" max="8717" width="2" style="1" customWidth="1"/>
    <col min="8718" max="8718" width="11.44140625" style="1" bestFit="1" customWidth="1"/>
    <col min="8719" max="8720" width="12.44140625" style="1" bestFit="1" customWidth="1"/>
    <col min="8721" max="8961" width="11.44140625" style="1"/>
    <col min="8962" max="8962" width="27.44140625" style="1" customWidth="1"/>
    <col min="8963" max="8967" width="11.44140625" style="1"/>
    <col min="8968" max="8968" width="20.109375" style="1" customWidth="1"/>
    <col min="8969" max="8969" width="13.77734375" style="1" customWidth="1"/>
    <col min="8970" max="8970" width="14.109375" style="1" customWidth="1"/>
    <col min="8971" max="8972" width="16.44140625" style="1" customWidth="1"/>
    <col min="8973" max="8973" width="2" style="1" customWidth="1"/>
    <col min="8974" max="8974" width="11.44140625" style="1" bestFit="1" customWidth="1"/>
    <col min="8975" max="8976" width="12.44140625" style="1" bestFit="1" customWidth="1"/>
    <col min="8977" max="9217" width="11.44140625" style="1"/>
    <col min="9218" max="9218" width="27.44140625" style="1" customWidth="1"/>
    <col min="9219" max="9223" width="11.44140625" style="1"/>
    <col min="9224" max="9224" width="20.109375" style="1" customWidth="1"/>
    <col min="9225" max="9225" width="13.77734375" style="1" customWidth="1"/>
    <col min="9226" max="9226" width="14.109375" style="1" customWidth="1"/>
    <col min="9227" max="9228" width="16.44140625" style="1" customWidth="1"/>
    <col min="9229" max="9229" width="2" style="1" customWidth="1"/>
    <col min="9230" max="9230" width="11.44140625" style="1" bestFit="1" customWidth="1"/>
    <col min="9231" max="9232" width="12.44140625" style="1" bestFit="1" customWidth="1"/>
    <col min="9233" max="9473" width="11.44140625" style="1"/>
    <col min="9474" max="9474" width="27.44140625" style="1" customWidth="1"/>
    <col min="9475" max="9479" width="11.44140625" style="1"/>
    <col min="9480" max="9480" width="20.109375" style="1" customWidth="1"/>
    <col min="9481" max="9481" width="13.77734375" style="1" customWidth="1"/>
    <col min="9482" max="9482" width="14.109375" style="1" customWidth="1"/>
    <col min="9483" max="9484" width="16.44140625" style="1" customWidth="1"/>
    <col min="9485" max="9485" width="2" style="1" customWidth="1"/>
    <col min="9486" max="9486" width="11.44140625" style="1" bestFit="1" customWidth="1"/>
    <col min="9487" max="9488" width="12.44140625" style="1" bestFit="1" customWidth="1"/>
    <col min="9489" max="9729" width="11.44140625" style="1"/>
    <col min="9730" max="9730" width="27.44140625" style="1" customWidth="1"/>
    <col min="9731" max="9735" width="11.44140625" style="1"/>
    <col min="9736" max="9736" width="20.109375" style="1" customWidth="1"/>
    <col min="9737" max="9737" width="13.77734375" style="1" customWidth="1"/>
    <col min="9738" max="9738" width="14.109375" style="1" customWidth="1"/>
    <col min="9739" max="9740" width="16.44140625" style="1" customWidth="1"/>
    <col min="9741" max="9741" width="2" style="1" customWidth="1"/>
    <col min="9742" max="9742" width="11.44140625" style="1" bestFit="1" customWidth="1"/>
    <col min="9743" max="9744" width="12.44140625" style="1" bestFit="1" customWidth="1"/>
    <col min="9745" max="9985" width="11.44140625" style="1"/>
    <col min="9986" max="9986" width="27.44140625" style="1" customWidth="1"/>
    <col min="9987" max="9991" width="11.44140625" style="1"/>
    <col min="9992" max="9992" width="20.109375" style="1" customWidth="1"/>
    <col min="9993" max="9993" width="13.77734375" style="1" customWidth="1"/>
    <col min="9994" max="9994" width="14.109375" style="1" customWidth="1"/>
    <col min="9995" max="9996" width="16.44140625" style="1" customWidth="1"/>
    <col min="9997" max="9997" width="2" style="1" customWidth="1"/>
    <col min="9998" max="9998" width="11.44140625" style="1" bestFit="1" customWidth="1"/>
    <col min="9999" max="10000" width="12.44140625" style="1" bestFit="1" customWidth="1"/>
    <col min="10001" max="10241" width="11.44140625" style="1"/>
    <col min="10242" max="10242" width="27.44140625" style="1" customWidth="1"/>
    <col min="10243" max="10247" width="11.44140625" style="1"/>
    <col min="10248" max="10248" width="20.109375" style="1" customWidth="1"/>
    <col min="10249" max="10249" width="13.77734375" style="1" customWidth="1"/>
    <col min="10250" max="10250" width="14.109375" style="1" customWidth="1"/>
    <col min="10251" max="10252" width="16.44140625" style="1" customWidth="1"/>
    <col min="10253" max="10253" width="2" style="1" customWidth="1"/>
    <col min="10254" max="10254" width="11.44140625" style="1" bestFit="1" customWidth="1"/>
    <col min="10255" max="10256" width="12.44140625" style="1" bestFit="1" customWidth="1"/>
    <col min="10257" max="10497" width="11.44140625" style="1"/>
    <col min="10498" max="10498" width="27.44140625" style="1" customWidth="1"/>
    <col min="10499" max="10503" width="11.44140625" style="1"/>
    <col min="10504" max="10504" width="20.109375" style="1" customWidth="1"/>
    <col min="10505" max="10505" width="13.77734375" style="1" customWidth="1"/>
    <col min="10506" max="10506" width="14.109375" style="1" customWidth="1"/>
    <col min="10507" max="10508" width="16.44140625" style="1" customWidth="1"/>
    <col min="10509" max="10509" width="2" style="1" customWidth="1"/>
    <col min="10510" max="10510" width="11.44140625" style="1" bestFit="1" customWidth="1"/>
    <col min="10511" max="10512" width="12.44140625" style="1" bestFit="1" customWidth="1"/>
    <col min="10513" max="10753" width="11.44140625" style="1"/>
    <col min="10754" max="10754" width="27.44140625" style="1" customWidth="1"/>
    <col min="10755" max="10759" width="11.44140625" style="1"/>
    <col min="10760" max="10760" width="20.109375" style="1" customWidth="1"/>
    <col min="10761" max="10761" width="13.77734375" style="1" customWidth="1"/>
    <col min="10762" max="10762" width="14.109375" style="1" customWidth="1"/>
    <col min="10763" max="10764" width="16.44140625" style="1" customWidth="1"/>
    <col min="10765" max="10765" width="2" style="1" customWidth="1"/>
    <col min="10766" max="10766" width="11.44140625" style="1" bestFit="1" customWidth="1"/>
    <col min="10767" max="10768" width="12.44140625" style="1" bestFit="1" customWidth="1"/>
    <col min="10769" max="11009" width="11.44140625" style="1"/>
    <col min="11010" max="11010" width="27.44140625" style="1" customWidth="1"/>
    <col min="11011" max="11015" width="11.44140625" style="1"/>
    <col min="11016" max="11016" width="20.109375" style="1" customWidth="1"/>
    <col min="11017" max="11017" width="13.77734375" style="1" customWidth="1"/>
    <col min="11018" max="11018" width="14.109375" style="1" customWidth="1"/>
    <col min="11019" max="11020" width="16.44140625" style="1" customWidth="1"/>
    <col min="11021" max="11021" width="2" style="1" customWidth="1"/>
    <col min="11022" max="11022" width="11.44140625" style="1" bestFit="1" customWidth="1"/>
    <col min="11023" max="11024" width="12.44140625" style="1" bestFit="1" customWidth="1"/>
    <col min="11025" max="11265" width="11.44140625" style="1"/>
    <col min="11266" max="11266" width="27.44140625" style="1" customWidth="1"/>
    <col min="11267" max="11271" width="11.44140625" style="1"/>
    <col min="11272" max="11272" width="20.109375" style="1" customWidth="1"/>
    <col min="11273" max="11273" width="13.77734375" style="1" customWidth="1"/>
    <col min="11274" max="11274" width="14.109375" style="1" customWidth="1"/>
    <col min="11275" max="11276" width="16.44140625" style="1" customWidth="1"/>
    <col min="11277" max="11277" width="2" style="1" customWidth="1"/>
    <col min="11278" max="11278" width="11.44140625" style="1" bestFit="1" customWidth="1"/>
    <col min="11279" max="11280" width="12.44140625" style="1" bestFit="1" customWidth="1"/>
    <col min="11281" max="11521" width="11.44140625" style="1"/>
    <col min="11522" max="11522" width="27.44140625" style="1" customWidth="1"/>
    <col min="11523" max="11527" width="11.44140625" style="1"/>
    <col min="11528" max="11528" width="20.109375" style="1" customWidth="1"/>
    <col min="11529" max="11529" width="13.77734375" style="1" customWidth="1"/>
    <col min="11530" max="11530" width="14.109375" style="1" customWidth="1"/>
    <col min="11531" max="11532" width="16.44140625" style="1" customWidth="1"/>
    <col min="11533" max="11533" width="2" style="1" customWidth="1"/>
    <col min="11534" max="11534" width="11.44140625" style="1" bestFit="1" customWidth="1"/>
    <col min="11535" max="11536" width="12.44140625" style="1" bestFit="1" customWidth="1"/>
    <col min="11537" max="11777" width="11.44140625" style="1"/>
    <col min="11778" max="11778" width="27.44140625" style="1" customWidth="1"/>
    <col min="11779" max="11783" width="11.44140625" style="1"/>
    <col min="11784" max="11784" width="20.109375" style="1" customWidth="1"/>
    <col min="11785" max="11785" width="13.77734375" style="1" customWidth="1"/>
    <col min="11786" max="11786" width="14.109375" style="1" customWidth="1"/>
    <col min="11787" max="11788" width="16.44140625" style="1" customWidth="1"/>
    <col min="11789" max="11789" width="2" style="1" customWidth="1"/>
    <col min="11790" max="11790" width="11.44140625" style="1" bestFit="1" customWidth="1"/>
    <col min="11791" max="11792" width="12.44140625" style="1" bestFit="1" customWidth="1"/>
    <col min="11793" max="12033" width="11.44140625" style="1"/>
    <col min="12034" max="12034" width="27.44140625" style="1" customWidth="1"/>
    <col min="12035" max="12039" width="11.44140625" style="1"/>
    <col min="12040" max="12040" width="20.109375" style="1" customWidth="1"/>
    <col min="12041" max="12041" width="13.77734375" style="1" customWidth="1"/>
    <col min="12042" max="12042" width="14.109375" style="1" customWidth="1"/>
    <col min="12043" max="12044" width="16.44140625" style="1" customWidth="1"/>
    <col min="12045" max="12045" width="2" style="1" customWidth="1"/>
    <col min="12046" max="12046" width="11.44140625" style="1" bestFit="1" customWidth="1"/>
    <col min="12047" max="12048" width="12.44140625" style="1" bestFit="1" customWidth="1"/>
    <col min="12049" max="12289" width="11.44140625" style="1"/>
    <col min="12290" max="12290" width="27.44140625" style="1" customWidth="1"/>
    <col min="12291" max="12295" width="11.44140625" style="1"/>
    <col min="12296" max="12296" width="20.109375" style="1" customWidth="1"/>
    <col min="12297" max="12297" width="13.77734375" style="1" customWidth="1"/>
    <col min="12298" max="12298" width="14.109375" style="1" customWidth="1"/>
    <col min="12299" max="12300" width="16.44140625" style="1" customWidth="1"/>
    <col min="12301" max="12301" width="2" style="1" customWidth="1"/>
    <col min="12302" max="12302" width="11.44140625" style="1" bestFit="1" customWidth="1"/>
    <col min="12303" max="12304" width="12.44140625" style="1" bestFit="1" customWidth="1"/>
    <col min="12305" max="12545" width="11.44140625" style="1"/>
    <col min="12546" max="12546" width="27.44140625" style="1" customWidth="1"/>
    <col min="12547" max="12551" width="11.44140625" style="1"/>
    <col min="12552" max="12552" width="20.109375" style="1" customWidth="1"/>
    <col min="12553" max="12553" width="13.77734375" style="1" customWidth="1"/>
    <col min="12554" max="12554" width="14.109375" style="1" customWidth="1"/>
    <col min="12555" max="12556" width="16.44140625" style="1" customWidth="1"/>
    <col min="12557" max="12557" width="2" style="1" customWidth="1"/>
    <col min="12558" max="12558" width="11.44140625" style="1" bestFit="1" customWidth="1"/>
    <col min="12559" max="12560" width="12.44140625" style="1" bestFit="1" customWidth="1"/>
    <col min="12561" max="12801" width="11.44140625" style="1"/>
    <col min="12802" max="12802" width="27.44140625" style="1" customWidth="1"/>
    <col min="12803" max="12807" width="11.44140625" style="1"/>
    <col min="12808" max="12808" width="20.109375" style="1" customWidth="1"/>
    <col min="12809" max="12809" width="13.77734375" style="1" customWidth="1"/>
    <col min="12810" max="12810" width="14.109375" style="1" customWidth="1"/>
    <col min="12811" max="12812" width="16.44140625" style="1" customWidth="1"/>
    <col min="12813" max="12813" width="2" style="1" customWidth="1"/>
    <col min="12814" max="12814" width="11.44140625" style="1" bestFit="1" customWidth="1"/>
    <col min="12815" max="12816" width="12.44140625" style="1" bestFit="1" customWidth="1"/>
    <col min="12817" max="13057" width="11.44140625" style="1"/>
    <col min="13058" max="13058" width="27.44140625" style="1" customWidth="1"/>
    <col min="13059" max="13063" width="11.44140625" style="1"/>
    <col min="13064" max="13064" width="20.109375" style="1" customWidth="1"/>
    <col min="13065" max="13065" width="13.77734375" style="1" customWidth="1"/>
    <col min="13066" max="13066" width="14.109375" style="1" customWidth="1"/>
    <col min="13067" max="13068" width="16.44140625" style="1" customWidth="1"/>
    <col min="13069" max="13069" width="2" style="1" customWidth="1"/>
    <col min="13070" max="13070" width="11.44140625" style="1" bestFit="1" customWidth="1"/>
    <col min="13071" max="13072" width="12.44140625" style="1" bestFit="1" customWidth="1"/>
    <col min="13073" max="13313" width="11.44140625" style="1"/>
    <col min="13314" max="13314" width="27.44140625" style="1" customWidth="1"/>
    <col min="13315" max="13319" width="11.44140625" style="1"/>
    <col min="13320" max="13320" width="20.109375" style="1" customWidth="1"/>
    <col min="13321" max="13321" width="13.77734375" style="1" customWidth="1"/>
    <col min="13322" max="13322" width="14.109375" style="1" customWidth="1"/>
    <col min="13323" max="13324" width="16.44140625" style="1" customWidth="1"/>
    <col min="13325" max="13325" width="2" style="1" customWidth="1"/>
    <col min="13326" max="13326" width="11.44140625" style="1" bestFit="1" customWidth="1"/>
    <col min="13327" max="13328" width="12.44140625" style="1" bestFit="1" customWidth="1"/>
    <col min="13329" max="13569" width="11.44140625" style="1"/>
    <col min="13570" max="13570" width="27.44140625" style="1" customWidth="1"/>
    <col min="13571" max="13575" width="11.44140625" style="1"/>
    <col min="13576" max="13576" width="20.109375" style="1" customWidth="1"/>
    <col min="13577" max="13577" width="13.77734375" style="1" customWidth="1"/>
    <col min="13578" max="13578" width="14.109375" style="1" customWidth="1"/>
    <col min="13579" max="13580" width="16.44140625" style="1" customWidth="1"/>
    <col min="13581" max="13581" width="2" style="1" customWidth="1"/>
    <col min="13582" max="13582" width="11.44140625" style="1" bestFit="1" customWidth="1"/>
    <col min="13583" max="13584" width="12.44140625" style="1" bestFit="1" customWidth="1"/>
    <col min="13585" max="13825" width="11.44140625" style="1"/>
    <col min="13826" max="13826" width="27.44140625" style="1" customWidth="1"/>
    <col min="13827" max="13831" width="11.44140625" style="1"/>
    <col min="13832" max="13832" width="20.109375" style="1" customWidth="1"/>
    <col min="13833" max="13833" width="13.77734375" style="1" customWidth="1"/>
    <col min="13834" max="13834" width="14.109375" style="1" customWidth="1"/>
    <col min="13835" max="13836" width="16.44140625" style="1" customWidth="1"/>
    <col min="13837" max="13837" width="2" style="1" customWidth="1"/>
    <col min="13838" max="13838" width="11.44140625" style="1" bestFit="1" customWidth="1"/>
    <col min="13839" max="13840" width="12.44140625" style="1" bestFit="1" customWidth="1"/>
    <col min="13841" max="14081" width="11.44140625" style="1"/>
    <col min="14082" max="14082" width="27.44140625" style="1" customWidth="1"/>
    <col min="14083" max="14087" width="11.44140625" style="1"/>
    <col min="14088" max="14088" width="20.109375" style="1" customWidth="1"/>
    <col min="14089" max="14089" width="13.77734375" style="1" customWidth="1"/>
    <col min="14090" max="14090" width="14.109375" style="1" customWidth="1"/>
    <col min="14091" max="14092" width="16.44140625" style="1" customWidth="1"/>
    <col min="14093" max="14093" width="2" style="1" customWidth="1"/>
    <col min="14094" max="14094" width="11.44140625" style="1" bestFit="1" customWidth="1"/>
    <col min="14095" max="14096" width="12.44140625" style="1" bestFit="1" customWidth="1"/>
    <col min="14097" max="14337" width="11.44140625" style="1"/>
    <col min="14338" max="14338" width="27.44140625" style="1" customWidth="1"/>
    <col min="14339" max="14343" width="11.44140625" style="1"/>
    <col min="14344" max="14344" width="20.109375" style="1" customWidth="1"/>
    <col min="14345" max="14345" width="13.77734375" style="1" customWidth="1"/>
    <col min="14346" max="14346" width="14.109375" style="1" customWidth="1"/>
    <col min="14347" max="14348" width="16.44140625" style="1" customWidth="1"/>
    <col min="14349" max="14349" width="2" style="1" customWidth="1"/>
    <col min="14350" max="14350" width="11.44140625" style="1" bestFit="1" customWidth="1"/>
    <col min="14351" max="14352" width="12.44140625" style="1" bestFit="1" customWidth="1"/>
    <col min="14353" max="14593" width="11.44140625" style="1"/>
    <col min="14594" max="14594" width="27.44140625" style="1" customWidth="1"/>
    <col min="14595" max="14599" width="11.44140625" style="1"/>
    <col min="14600" max="14600" width="20.109375" style="1" customWidth="1"/>
    <col min="14601" max="14601" width="13.77734375" style="1" customWidth="1"/>
    <col min="14602" max="14602" width="14.109375" style="1" customWidth="1"/>
    <col min="14603" max="14604" width="16.44140625" style="1" customWidth="1"/>
    <col min="14605" max="14605" width="2" style="1" customWidth="1"/>
    <col min="14606" max="14606" width="11.44140625" style="1" bestFit="1" customWidth="1"/>
    <col min="14607" max="14608" width="12.44140625" style="1" bestFit="1" customWidth="1"/>
    <col min="14609" max="14849" width="11.44140625" style="1"/>
    <col min="14850" max="14850" width="27.44140625" style="1" customWidth="1"/>
    <col min="14851" max="14855" width="11.44140625" style="1"/>
    <col min="14856" max="14856" width="20.109375" style="1" customWidth="1"/>
    <col min="14857" max="14857" width="13.77734375" style="1" customWidth="1"/>
    <col min="14858" max="14858" width="14.109375" style="1" customWidth="1"/>
    <col min="14859" max="14860" width="16.44140625" style="1" customWidth="1"/>
    <col min="14861" max="14861" width="2" style="1" customWidth="1"/>
    <col min="14862" max="14862" width="11.44140625" style="1" bestFit="1" customWidth="1"/>
    <col min="14863" max="14864" width="12.44140625" style="1" bestFit="1" customWidth="1"/>
    <col min="14865" max="15105" width="11.44140625" style="1"/>
    <col min="15106" max="15106" width="27.44140625" style="1" customWidth="1"/>
    <col min="15107" max="15111" width="11.44140625" style="1"/>
    <col min="15112" max="15112" width="20.109375" style="1" customWidth="1"/>
    <col min="15113" max="15113" width="13.77734375" style="1" customWidth="1"/>
    <col min="15114" max="15114" width="14.109375" style="1" customWidth="1"/>
    <col min="15115" max="15116" width="16.44140625" style="1" customWidth="1"/>
    <col min="15117" max="15117" width="2" style="1" customWidth="1"/>
    <col min="15118" max="15118" width="11.44140625" style="1" bestFit="1" customWidth="1"/>
    <col min="15119" max="15120" width="12.44140625" style="1" bestFit="1" customWidth="1"/>
    <col min="15121" max="15361" width="11.44140625" style="1"/>
    <col min="15362" max="15362" width="27.44140625" style="1" customWidth="1"/>
    <col min="15363" max="15367" width="11.44140625" style="1"/>
    <col min="15368" max="15368" width="20.109375" style="1" customWidth="1"/>
    <col min="15369" max="15369" width="13.77734375" style="1" customWidth="1"/>
    <col min="15370" max="15370" width="14.109375" style="1" customWidth="1"/>
    <col min="15371" max="15372" width="16.44140625" style="1" customWidth="1"/>
    <col min="15373" max="15373" width="2" style="1" customWidth="1"/>
    <col min="15374" max="15374" width="11.44140625" style="1" bestFit="1" customWidth="1"/>
    <col min="15375" max="15376" width="12.44140625" style="1" bestFit="1" customWidth="1"/>
    <col min="15377" max="15617" width="11.44140625" style="1"/>
    <col min="15618" max="15618" width="27.44140625" style="1" customWidth="1"/>
    <col min="15619" max="15623" width="11.44140625" style="1"/>
    <col min="15624" max="15624" width="20.109375" style="1" customWidth="1"/>
    <col min="15625" max="15625" width="13.77734375" style="1" customWidth="1"/>
    <col min="15626" max="15626" width="14.109375" style="1" customWidth="1"/>
    <col min="15627" max="15628" width="16.44140625" style="1" customWidth="1"/>
    <col min="15629" max="15629" width="2" style="1" customWidth="1"/>
    <col min="15630" max="15630" width="11.44140625" style="1" bestFit="1" customWidth="1"/>
    <col min="15631" max="15632" width="12.44140625" style="1" bestFit="1" customWidth="1"/>
    <col min="15633" max="15873" width="11.44140625" style="1"/>
    <col min="15874" max="15874" width="27.44140625" style="1" customWidth="1"/>
    <col min="15875" max="15879" width="11.44140625" style="1"/>
    <col min="15880" max="15880" width="20.109375" style="1" customWidth="1"/>
    <col min="15881" max="15881" width="13.77734375" style="1" customWidth="1"/>
    <col min="15882" max="15882" width="14.109375" style="1" customWidth="1"/>
    <col min="15883" max="15884" width="16.44140625" style="1" customWidth="1"/>
    <col min="15885" max="15885" width="2" style="1" customWidth="1"/>
    <col min="15886" max="15886" width="11.44140625" style="1" bestFit="1" customWidth="1"/>
    <col min="15887" max="15888" width="12.44140625" style="1" bestFit="1" customWidth="1"/>
    <col min="15889" max="16129" width="11.44140625" style="1"/>
    <col min="16130" max="16130" width="27.44140625" style="1" customWidth="1"/>
    <col min="16131" max="16135" width="11.44140625" style="1"/>
    <col min="16136" max="16136" width="20.109375" style="1" customWidth="1"/>
    <col min="16137" max="16137" width="13.77734375" style="1" customWidth="1"/>
    <col min="16138" max="16138" width="14.109375" style="1" customWidth="1"/>
    <col min="16139" max="16140" width="16.44140625" style="1" customWidth="1"/>
    <col min="16141" max="16141" width="2" style="1" customWidth="1"/>
    <col min="16142" max="16142" width="11.44140625" style="1" bestFit="1" customWidth="1"/>
    <col min="16143" max="16144" width="12.44140625" style="1" bestFit="1" customWidth="1"/>
    <col min="16145" max="16384" width="11.44140625" style="1"/>
  </cols>
  <sheetData>
    <row r="1" spans="2:10" ht="14.4" thickBot="1"/>
    <row r="2" spans="2:10" ht="18.600000000000001" thickBot="1">
      <c r="C2" s="329" t="s">
        <v>164</v>
      </c>
      <c r="D2" s="330"/>
      <c r="E2" s="330"/>
      <c r="F2" s="330"/>
      <c r="G2" s="330"/>
      <c r="H2" s="330"/>
      <c r="I2" s="331"/>
    </row>
    <row r="5" spans="2:10">
      <c r="B5" s="324" t="s">
        <v>89</v>
      </c>
      <c r="C5" s="324"/>
      <c r="D5" s="324"/>
      <c r="E5" s="324"/>
      <c r="F5" s="2"/>
      <c r="G5" s="153" t="s">
        <v>118</v>
      </c>
      <c r="H5" s="153" t="s">
        <v>2</v>
      </c>
      <c r="I5" s="153" t="s">
        <v>3</v>
      </c>
      <c r="J5" s="153" t="s">
        <v>4</v>
      </c>
    </row>
    <row r="6" spans="2:10">
      <c r="B6" s="323" t="s">
        <v>168</v>
      </c>
      <c r="C6" s="323"/>
      <c r="D6" s="323"/>
      <c r="E6" s="323"/>
      <c r="F6" s="4"/>
      <c r="G6" s="169">
        <f>'Inversión Inicial'!C5</f>
        <v>20500000</v>
      </c>
      <c r="H6" s="169">
        <f>'Inversión Inicial'!D5</f>
        <v>29800000</v>
      </c>
      <c r="I6" s="169">
        <f>'Inversión Inicial'!E5</f>
        <v>31500000</v>
      </c>
      <c r="J6" s="169">
        <f>'Inversión Inicial'!F5</f>
        <v>38000000</v>
      </c>
    </row>
    <row r="7" spans="2:10">
      <c r="B7" s="323" t="s">
        <v>134</v>
      </c>
      <c r="C7" s="323"/>
      <c r="D7" s="323"/>
      <c r="E7" s="323"/>
      <c r="F7" s="5"/>
      <c r="G7" s="169">
        <f>'Inversión Inicial'!C11</f>
        <v>4000000</v>
      </c>
      <c r="H7" s="169">
        <f>'Inversión Inicial'!D11</f>
        <v>8000000</v>
      </c>
      <c r="I7" s="169">
        <f>'Inversión Inicial'!E11</f>
        <v>12000000</v>
      </c>
      <c r="J7" s="169">
        <f>'Inversión Inicial'!F11</f>
        <v>17000000</v>
      </c>
    </row>
    <row r="8" spans="2:10">
      <c r="B8" s="323" t="s">
        <v>171</v>
      </c>
      <c r="C8" s="323"/>
      <c r="D8" s="323"/>
      <c r="E8" s="323"/>
      <c r="F8" s="5"/>
      <c r="G8" s="92">
        <v>0</v>
      </c>
      <c r="H8" s="92">
        <v>0</v>
      </c>
      <c r="I8" s="92"/>
      <c r="J8" s="92">
        <v>0</v>
      </c>
    </row>
    <row r="9" spans="2:10" ht="14.4" thickBot="1">
      <c r="B9" s="325" t="s">
        <v>112</v>
      </c>
      <c r="C9" s="325"/>
      <c r="D9" s="325"/>
      <c r="E9" s="325"/>
      <c r="F9" s="4"/>
      <c r="G9" s="171">
        <f>G6</f>
        <v>20500000</v>
      </c>
      <c r="H9" s="171">
        <f>H6</f>
        <v>29800000</v>
      </c>
      <c r="I9" s="171">
        <f>+I6+I7</f>
        <v>43500000</v>
      </c>
      <c r="J9" s="171">
        <f>+J6+J7</f>
        <v>55000000</v>
      </c>
    </row>
    <row r="10" spans="2:10" ht="14.4" thickTop="1">
      <c r="B10" s="323" t="s">
        <v>145</v>
      </c>
      <c r="C10" s="323"/>
      <c r="D10" s="323"/>
      <c r="E10" s="323"/>
      <c r="F10" s="5"/>
      <c r="G10" s="170">
        <f>'Inversión Inicial'!C18</f>
        <v>10000000</v>
      </c>
      <c r="H10" s="170">
        <f>'Inversión Inicial'!D18</f>
        <v>48000000</v>
      </c>
      <c r="I10" s="170">
        <f>'Inversión Inicial'!E18</f>
        <v>80000000</v>
      </c>
      <c r="J10" s="170">
        <f>'Inversión Inicial'!F18</f>
        <v>120000000</v>
      </c>
    </row>
    <row r="11" spans="2:10">
      <c r="B11" s="323" t="s">
        <v>161</v>
      </c>
      <c r="C11" s="323"/>
      <c r="D11" s="323"/>
      <c r="E11" s="323"/>
      <c r="F11" s="5"/>
      <c r="G11" s="169">
        <f>+'Inversión Inicial'!C15</f>
        <v>0</v>
      </c>
      <c r="H11" s="169">
        <f>+'Inversión Inicial'!C15+'Inversión Inicial'!D15</f>
        <v>0</v>
      </c>
      <c r="I11" s="169">
        <f>+'Inversión Inicial'!C15+'Inversión Inicial'!D15+'Inversión Inicial'!E15</f>
        <v>0</v>
      </c>
      <c r="J11" s="169">
        <f>+'Inversión Inicial'!C15+'Inversión Inicial'!D15+'Inversión Inicial'!E15+'Inversión Inicial'!F15</f>
        <v>0</v>
      </c>
    </row>
    <row r="12" spans="2:10">
      <c r="B12" s="323" t="s">
        <v>172</v>
      </c>
      <c r="C12" s="323"/>
      <c r="D12" s="323"/>
      <c r="E12" s="323"/>
      <c r="F12" s="5"/>
      <c r="G12" s="274">
        <v>9499999.9999999963</v>
      </c>
      <c r="H12" s="274">
        <v>2158202883.7252131</v>
      </c>
      <c r="I12" s="274">
        <v>2202758358.9833956</v>
      </c>
      <c r="J12" s="274">
        <v>2232382080.8828144</v>
      </c>
    </row>
    <row r="13" spans="2:10" ht="14.4" thickBot="1">
      <c r="B13" s="325" t="s">
        <v>173</v>
      </c>
      <c r="C13" s="325"/>
      <c r="D13" s="325"/>
      <c r="E13" s="325"/>
      <c r="F13" s="4"/>
      <c r="G13" s="171">
        <f>SUM(G10:G12)</f>
        <v>19499999.999999996</v>
      </c>
      <c r="H13" s="171">
        <f t="shared" ref="H13:J13" si="0">SUM(H10:H12)</f>
        <v>2206202883.7252131</v>
      </c>
      <c r="I13" s="171">
        <f t="shared" si="0"/>
        <v>2282758358.9833956</v>
      </c>
      <c r="J13" s="171">
        <f t="shared" si="0"/>
        <v>2352382080.8828144</v>
      </c>
    </row>
    <row r="14" spans="2:10" s="7" customFormat="1" ht="15" thickTop="1" thickBot="1">
      <c r="B14" s="326" t="s">
        <v>90</v>
      </c>
      <c r="C14" s="326"/>
      <c r="D14" s="326"/>
      <c r="E14" s="326"/>
      <c r="F14" s="4"/>
      <c r="G14" s="93">
        <f>G9+G13</f>
        <v>40000000</v>
      </c>
      <c r="H14" s="93">
        <f>H9+H13</f>
        <v>2236002883.7252131</v>
      </c>
      <c r="I14" s="93">
        <f>I9+I13</f>
        <v>2326258358.9833956</v>
      </c>
      <c r="J14" s="93">
        <f>J9+J13</f>
        <v>2407382080.8828144</v>
      </c>
    </row>
    <row r="15" spans="2:10" ht="14.4" thickTop="1">
      <c r="B15" s="172"/>
      <c r="C15" s="172"/>
      <c r="D15" s="172"/>
      <c r="E15" s="172"/>
    </row>
    <row r="16" spans="2:10">
      <c r="B16" s="324" t="s">
        <v>91</v>
      </c>
      <c r="C16" s="324"/>
      <c r="D16" s="324"/>
      <c r="E16" s="324"/>
      <c r="F16" s="2"/>
      <c r="G16" s="153" t="s">
        <v>122</v>
      </c>
      <c r="H16" s="153" t="s">
        <v>119</v>
      </c>
      <c r="I16" s="153" t="s">
        <v>120</v>
      </c>
      <c r="J16" s="153" t="s">
        <v>121</v>
      </c>
    </row>
    <row r="17" spans="2:10">
      <c r="B17" s="322" t="s">
        <v>166</v>
      </c>
      <c r="C17" s="322"/>
      <c r="D17" s="322"/>
      <c r="E17" s="322"/>
      <c r="F17" s="2"/>
      <c r="G17" s="169">
        <f>Financiación!D13</f>
        <v>10000000</v>
      </c>
      <c r="H17" s="169">
        <f>Financiación!G37</f>
        <v>7408166.7478319965</v>
      </c>
      <c r="I17" s="169">
        <f>Financiación!G49</f>
        <v>4134604.9773812927</v>
      </c>
      <c r="J17" s="169">
        <f>Financiación!G61</f>
        <v>-6.7055225372314453E-8</v>
      </c>
    </row>
    <row r="18" spans="2:10">
      <c r="B18" s="322" t="s">
        <v>167</v>
      </c>
      <c r="C18" s="322"/>
      <c r="D18" s="322"/>
      <c r="E18" s="322"/>
      <c r="F18" s="5"/>
      <c r="G18" s="6">
        <v>0</v>
      </c>
      <c r="H18" s="6"/>
      <c r="I18" s="6">
        <v>0</v>
      </c>
      <c r="J18" s="6">
        <v>0</v>
      </c>
    </row>
    <row r="19" spans="2:10" s="7" customFormat="1">
      <c r="B19" s="322" t="s">
        <v>176</v>
      </c>
      <c r="C19" s="322"/>
      <c r="D19" s="322"/>
      <c r="E19" s="322"/>
      <c r="F19" s="4"/>
      <c r="G19" s="176">
        <v>0</v>
      </c>
      <c r="H19" s="169">
        <f>Financiación!G49</f>
        <v>4134604.9773812927</v>
      </c>
      <c r="I19" s="169">
        <f>Financiación!G61</f>
        <v>-6.7055225372314453E-8</v>
      </c>
      <c r="J19" s="169">
        <v>0</v>
      </c>
    </row>
    <row r="20" spans="2:10" s="7" customFormat="1">
      <c r="B20" s="322" t="s">
        <v>271</v>
      </c>
      <c r="C20" s="322"/>
      <c r="D20" s="322"/>
      <c r="E20" s="322"/>
      <c r="F20" s="4"/>
      <c r="G20" s="176"/>
      <c r="H20" s="169"/>
      <c r="I20" s="169"/>
      <c r="J20" s="169"/>
    </row>
    <row r="21" spans="2:10" ht="14.4" thickBot="1">
      <c r="B21" s="326" t="s">
        <v>174</v>
      </c>
      <c r="C21" s="326"/>
      <c r="D21" s="326"/>
      <c r="E21" s="326"/>
      <c r="G21" s="93">
        <f>SUM(G17:G20)</f>
        <v>10000000</v>
      </c>
      <c r="H21" s="93">
        <f t="shared" ref="H21:J21" si="1">SUM(H17:H19)</f>
        <v>11542771.725213289</v>
      </c>
      <c r="I21" s="93">
        <f t="shared" si="1"/>
        <v>4134604.9773812257</v>
      </c>
      <c r="J21" s="93">
        <f t="shared" si="1"/>
        <v>-6.7055225372314453E-8</v>
      </c>
    </row>
    <row r="22" spans="2:10" ht="14.4" thickTop="1">
      <c r="B22" s="172"/>
      <c r="C22" s="172"/>
      <c r="D22" s="172"/>
      <c r="E22" s="172"/>
      <c r="G22" s="4"/>
      <c r="H22" s="4"/>
      <c r="I22" s="4"/>
      <c r="J22" s="4"/>
    </row>
    <row r="23" spans="2:10">
      <c r="B23" s="324" t="s">
        <v>111</v>
      </c>
      <c r="C23" s="324"/>
      <c r="D23" s="324"/>
      <c r="E23" s="324"/>
      <c r="F23" s="2"/>
      <c r="G23" s="153" t="s">
        <v>122</v>
      </c>
      <c r="H23" s="153" t="s">
        <v>2</v>
      </c>
      <c r="I23" s="153" t="s">
        <v>3</v>
      </c>
      <c r="J23" s="153" t="s">
        <v>4</v>
      </c>
    </row>
    <row r="24" spans="2:10">
      <c r="B24" s="322" t="s">
        <v>180</v>
      </c>
      <c r="C24" s="322"/>
      <c r="D24" s="322"/>
      <c r="E24" s="322"/>
      <c r="F24" s="5"/>
      <c r="G24" s="169">
        <f>Financiación!C9</f>
        <v>30000000</v>
      </c>
      <c r="H24" s="6">
        <f>+G24</f>
        <v>30000000</v>
      </c>
      <c r="I24" s="6">
        <f>+H24</f>
        <v>30000000</v>
      </c>
      <c r="J24" s="6">
        <f>+I24</f>
        <v>30000000</v>
      </c>
    </row>
    <row r="25" spans="2:10">
      <c r="B25" s="322" t="s">
        <v>179</v>
      </c>
      <c r="C25" s="322"/>
      <c r="D25" s="322"/>
      <c r="E25" s="322"/>
      <c r="F25" s="5"/>
      <c r="G25" s="6">
        <v>0</v>
      </c>
      <c r="H25" s="6">
        <v>0</v>
      </c>
      <c r="I25" s="6">
        <v>0</v>
      </c>
      <c r="J25" s="6">
        <v>0</v>
      </c>
    </row>
    <row r="26" spans="2:10">
      <c r="B26" s="322" t="s">
        <v>0</v>
      </c>
      <c r="C26" s="322"/>
      <c r="D26" s="322"/>
      <c r="E26" s="322"/>
      <c r="F26" s="5"/>
      <c r="G26" s="6">
        <v>0</v>
      </c>
      <c r="H26" s="6">
        <f>+'Estado de Resultados'!F23</f>
        <v>2194460112</v>
      </c>
      <c r="I26" s="6">
        <f>+'Estado de Resultados'!G23</f>
        <v>2292123754.0060143</v>
      </c>
      <c r="J26" s="6">
        <f>+'Estado de Resultados'!H23</f>
        <v>2377382080.8828144</v>
      </c>
    </row>
    <row r="27" spans="2:10" s="7" customFormat="1" ht="14.4" thickBot="1">
      <c r="B27" s="326" t="s">
        <v>175</v>
      </c>
      <c r="C27" s="326"/>
      <c r="D27" s="326"/>
      <c r="E27" s="326"/>
      <c r="F27" s="4"/>
      <c r="G27" s="93">
        <f>SUM(G24:G26)</f>
        <v>30000000</v>
      </c>
      <c r="H27" s="93">
        <f>SUM(H24:H26)</f>
        <v>2224460112</v>
      </c>
      <c r="I27" s="93">
        <f>SUM(I24:I26)</f>
        <v>2322123754.0060143</v>
      </c>
      <c r="J27" s="93">
        <f>SUM(J24:J26)</f>
        <v>2407382080.8828144</v>
      </c>
    </row>
    <row r="28" spans="2:10" ht="14.4" thickTop="1">
      <c r="B28" s="172"/>
      <c r="C28" s="172"/>
      <c r="D28" s="172"/>
      <c r="E28" s="172"/>
    </row>
    <row r="29" spans="2:10" ht="14.4" thickBot="1">
      <c r="B29" s="326" t="s">
        <v>165</v>
      </c>
      <c r="C29" s="326"/>
      <c r="D29" s="326"/>
      <c r="E29" s="326"/>
      <c r="F29" s="4"/>
      <c r="G29" s="93">
        <f>G21+G27</f>
        <v>40000000</v>
      </c>
      <c r="H29" s="93">
        <f>H21+H27</f>
        <v>2236002883.7252131</v>
      </c>
      <c r="I29" s="93">
        <f>I21+I27</f>
        <v>2326258358.9833956</v>
      </c>
      <c r="J29" s="93">
        <f>J21+J27</f>
        <v>2407382080.8828144</v>
      </c>
    </row>
    <row r="30" spans="2:10" ht="14.4" thickTop="1">
      <c r="B30" s="172"/>
      <c r="C30" s="172"/>
      <c r="D30" s="172"/>
      <c r="E30" s="172"/>
      <c r="H30" s="8"/>
      <c r="I30" s="8"/>
      <c r="J30" s="8"/>
    </row>
    <row r="31" spans="2:10" ht="14.4" thickBot="1">
      <c r="B31" s="327" t="s">
        <v>177</v>
      </c>
      <c r="C31" s="327"/>
      <c r="D31" s="327"/>
      <c r="E31" s="327"/>
      <c r="G31" s="175">
        <f>G14-G29</f>
        <v>0</v>
      </c>
      <c r="H31" s="175">
        <f>H14-H29</f>
        <v>0</v>
      </c>
      <c r="I31" s="234">
        <f>I14-I29</f>
        <v>0</v>
      </c>
      <c r="J31" s="175">
        <f>J14-J29</f>
        <v>0</v>
      </c>
    </row>
    <row r="32" spans="2:10" ht="15" thickTop="1" thickBot="1"/>
    <row r="33" spans="2:10" ht="27" customHeight="1" thickBot="1">
      <c r="B33" s="328" t="s">
        <v>178</v>
      </c>
      <c r="C33" s="328"/>
      <c r="D33" s="328"/>
      <c r="E33" s="328"/>
      <c r="F33" s="173"/>
      <c r="G33" s="174" t="str">
        <f>IF(EXACT(G29,G14),"SI","NO")</f>
        <v>SI</v>
      </c>
      <c r="H33" s="174" t="str">
        <f>IF(EXACT(H29,H14),"SI","NO")</f>
        <v>SI</v>
      </c>
      <c r="I33" s="174" t="str">
        <f>IF(EXACT(I29,I14),"SI","NO")</f>
        <v>SI</v>
      </c>
      <c r="J33" s="174" t="str">
        <f>IF(EXACT(J29,J14),"SI","NO")</f>
        <v>SI</v>
      </c>
    </row>
    <row r="36" spans="2:10">
      <c r="B36" s="1" t="s">
        <v>272</v>
      </c>
      <c r="H36" s="8"/>
      <c r="I36" s="8"/>
      <c r="J36" s="8"/>
    </row>
    <row r="37" spans="2:10">
      <c r="B37" s="1" t="s">
        <v>273</v>
      </c>
      <c r="H37" s="235"/>
    </row>
    <row r="53" spans="2:9" ht="24" thickBot="1">
      <c r="B53" s="279" t="s">
        <v>307</v>
      </c>
      <c r="C53" s="279"/>
      <c r="D53" s="279"/>
      <c r="E53" s="279"/>
      <c r="F53" s="279"/>
      <c r="G53" s="279"/>
      <c r="H53" s="279"/>
      <c r="I53" s="279"/>
    </row>
    <row r="54" spans="2:9" ht="67.95" customHeight="1" thickBot="1">
      <c r="B54" s="291" t="s">
        <v>323</v>
      </c>
      <c r="C54" s="292"/>
      <c r="D54" s="292"/>
      <c r="E54" s="292"/>
      <c r="F54" s="292"/>
      <c r="G54" s="292"/>
      <c r="H54" s="292"/>
      <c r="I54" s="293"/>
    </row>
    <row r="55" spans="2:9" ht="156" customHeight="1" thickBot="1">
      <c r="B55" s="283"/>
      <c r="C55" s="284"/>
      <c r="D55" s="284"/>
      <c r="E55" s="284"/>
      <c r="F55" s="284"/>
      <c r="G55" s="284"/>
      <c r="H55" s="284"/>
      <c r="I55" s="285"/>
    </row>
  </sheetData>
  <mergeCells count="28">
    <mergeCell ref="C2:I2"/>
    <mergeCell ref="B27:E27"/>
    <mergeCell ref="B29:E29"/>
    <mergeCell ref="B19:E19"/>
    <mergeCell ref="B23:E23"/>
    <mergeCell ref="B24:E24"/>
    <mergeCell ref="B25:E25"/>
    <mergeCell ref="B26:E26"/>
    <mergeCell ref="B13:E13"/>
    <mergeCell ref="B14:E14"/>
    <mergeCell ref="B16:E16"/>
    <mergeCell ref="B17:E17"/>
    <mergeCell ref="B18:E18"/>
    <mergeCell ref="B5:E5"/>
    <mergeCell ref="B6:E6"/>
    <mergeCell ref="B7:E7"/>
    <mergeCell ref="B8:E8"/>
    <mergeCell ref="B9:E9"/>
    <mergeCell ref="B53:I53"/>
    <mergeCell ref="B54:I54"/>
    <mergeCell ref="B55:I55"/>
    <mergeCell ref="B20:E20"/>
    <mergeCell ref="B10:E10"/>
    <mergeCell ref="B11:E11"/>
    <mergeCell ref="B12:E12"/>
    <mergeCell ref="B21:E21"/>
    <mergeCell ref="B31:E31"/>
    <mergeCell ref="B33:E33"/>
  </mergeCells>
  <conditionalFormatting sqref="G31">
    <cfRule type="cellIs" priority="2" operator="equal">
      <formula>0</formula>
    </cfRule>
  </conditionalFormatting>
  <conditionalFormatting sqref="G31:J31">
    <cfRule type="cellIs" dxfId="1" priority="1" operator="equal">
      <formula>0</formula>
    </cfRule>
  </conditionalFormatting>
  <conditionalFormatting sqref="G33:J33">
    <cfRule type="containsText" dxfId="0" priority="3" operator="containsText" text="SI">
      <formula>NOT(ISERROR(SEARCH("SI",G33)))</formula>
    </cfRule>
    <cfRule type="containsText" priority="4" operator="containsText" text="SI">
      <formula>NOT(ISERROR(SEARCH("SI",G33)))</formula>
    </cfRule>
  </conditionalFormatting>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35E8-3658-47A0-BCD3-608835AC2707}">
  <sheetPr codeName="Hoja9">
    <tabColor rgb="FF00B0F0"/>
  </sheetPr>
  <dimension ref="B2:N39"/>
  <sheetViews>
    <sheetView topLeftCell="A23" zoomScale="145" zoomScaleNormal="145" workbookViewId="0">
      <selection activeCell="B39" sqref="B37:I39"/>
    </sheetView>
  </sheetViews>
  <sheetFormatPr baseColWidth="10" defaultRowHeight="13.8"/>
  <cols>
    <col min="1" max="1" width="3.109375" style="1" customWidth="1"/>
    <col min="2" max="2" width="41.109375" style="1" bestFit="1" customWidth="1"/>
    <col min="3" max="5" width="14.44140625" style="1" hidden="1" customWidth="1"/>
    <col min="6" max="6" width="17.77734375" style="1" customWidth="1"/>
    <col min="7" max="9" width="16.109375" style="1" bestFit="1" customWidth="1"/>
    <col min="10" max="11" width="16.109375" style="1" hidden="1" customWidth="1"/>
    <col min="12" max="13" width="11.44140625" style="1"/>
    <col min="14" max="14" width="11.44140625" style="1" bestFit="1" customWidth="1"/>
    <col min="15" max="257" width="11.44140625" style="1"/>
    <col min="258" max="258" width="3.109375" style="1" customWidth="1"/>
    <col min="259" max="259" width="32.44140625" style="1" customWidth="1"/>
    <col min="260" max="263" width="11.44140625" style="1"/>
    <col min="264" max="264" width="17.44140625" style="1" customWidth="1"/>
    <col min="265" max="513" width="11.44140625" style="1"/>
    <col min="514" max="514" width="3.109375" style="1" customWidth="1"/>
    <col min="515" max="515" width="32.44140625" style="1" customWidth="1"/>
    <col min="516" max="519" width="11.44140625" style="1"/>
    <col min="520" max="520" width="17.44140625" style="1" customWidth="1"/>
    <col min="521" max="769" width="11.44140625" style="1"/>
    <col min="770" max="770" width="3.109375" style="1" customWidth="1"/>
    <col min="771" max="771" width="32.44140625" style="1" customWidth="1"/>
    <col min="772" max="775" width="11.44140625" style="1"/>
    <col min="776" max="776" width="17.44140625" style="1" customWidth="1"/>
    <col min="777" max="1025" width="11.44140625" style="1"/>
    <col min="1026" max="1026" width="3.109375" style="1" customWidth="1"/>
    <col min="1027" max="1027" width="32.44140625" style="1" customWidth="1"/>
    <col min="1028" max="1031" width="11.44140625" style="1"/>
    <col min="1032" max="1032" width="17.44140625" style="1" customWidth="1"/>
    <col min="1033" max="1281" width="11.44140625" style="1"/>
    <col min="1282" max="1282" width="3.109375" style="1" customWidth="1"/>
    <col min="1283" max="1283" width="32.44140625" style="1" customWidth="1"/>
    <col min="1284" max="1287" width="11.44140625" style="1"/>
    <col min="1288" max="1288" width="17.44140625" style="1" customWidth="1"/>
    <col min="1289" max="1537" width="11.44140625" style="1"/>
    <col min="1538" max="1538" width="3.109375" style="1" customWidth="1"/>
    <col min="1539" max="1539" width="32.44140625" style="1" customWidth="1"/>
    <col min="1540" max="1543" width="11.44140625" style="1"/>
    <col min="1544" max="1544" width="17.44140625" style="1" customWidth="1"/>
    <col min="1545" max="1793" width="11.44140625" style="1"/>
    <col min="1794" max="1794" width="3.109375" style="1" customWidth="1"/>
    <col min="1795" max="1795" width="32.44140625" style="1" customWidth="1"/>
    <col min="1796" max="1799" width="11.44140625" style="1"/>
    <col min="1800" max="1800" width="17.44140625" style="1" customWidth="1"/>
    <col min="1801" max="2049" width="11.44140625" style="1"/>
    <col min="2050" max="2050" width="3.109375" style="1" customWidth="1"/>
    <col min="2051" max="2051" width="32.44140625" style="1" customWidth="1"/>
    <col min="2052" max="2055" width="11.44140625" style="1"/>
    <col min="2056" max="2056" width="17.44140625" style="1" customWidth="1"/>
    <col min="2057" max="2305" width="11.44140625" style="1"/>
    <col min="2306" max="2306" width="3.109375" style="1" customWidth="1"/>
    <col min="2307" max="2307" width="32.44140625" style="1" customWidth="1"/>
    <col min="2308" max="2311" width="11.44140625" style="1"/>
    <col min="2312" max="2312" width="17.44140625" style="1" customWidth="1"/>
    <col min="2313" max="2561" width="11.44140625" style="1"/>
    <col min="2562" max="2562" width="3.109375" style="1" customWidth="1"/>
    <col min="2563" max="2563" width="32.44140625" style="1" customWidth="1"/>
    <col min="2564" max="2567" width="11.44140625" style="1"/>
    <col min="2568" max="2568" width="17.44140625" style="1" customWidth="1"/>
    <col min="2569" max="2817" width="11.44140625" style="1"/>
    <col min="2818" max="2818" width="3.109375" style="1" customWidth="1"/>
    <col min="2819" max="2819" width="32.44140625" style="1" customWidth="1"/>
    <col min="2820" max="2823" width="11.44140625" style="1"/>
    <col min="2824" max="2824" width="17.44140625" style="1" customWidth="1"/>
    <col min="2825" max="3073" width="11.44140625" style="1"/>
    <col min="3074" max="3074" width="3.109375" style="1" customWidth="1"/>
    <col min="3075" max="3075" width="32.44140625" style="1" customWidth="1"/>
    <col min="3076" max="3079" width="11.44140625" style="1"/>
    <col min="3080" max="3080" width="17.44140625" style="1" customWidth="1"/>
    <col min="3081" max="3329" width="11.44140625" style="1"/>
    <col min="3330" max="3330" width="3.109375" style="1" customWidth="1"/>
    <col min="3331" max="3331" width="32.44140625" style="1" customWidth="1"/>
    <col min="3332" max="3335" width="11.44140625" style="1"/>
    <col min="3336" max="3336" width="17.44140625" style="1" customWidth="1"/>
    <col min="3337" max="3585" width="11.44140625" style="1"/>
    <col min="3586" max="3586" width="3.109375" style="1" customWidth="1"/>
    <col min="3587" max="3587" width="32.44140625" style="1" customWidth="1"/>
    <col min="3588" max="3591" width="11.44140625" style="1"/>
    <col min="3592" max="3592" width="17.44140625" style="1" customWidth="1"/>
    <col min="3593" max="3841" width="11.44140625" style="1"/>
    <col min="3842" max="3842" width="3.109375" style="1" customWidth="1"/>
    <col min="3843" max="3843" width="32.44140625" style="1" customWidth="1"/>
    <col min="3844" max="3847" width="11.44140625" style="1"/>
    <col min="3848" max="3848" width="17.44140625" style="1" customWidth="1"/>
    <col min="3849" max="4097" width="11.44140625" style="1"/>
    <col min="4098" max="4098" width="3.109375" style="1" customWidth="1"/>
    <col min="4099" max="4099" width="32.44140625" style="1" customWidth="1"/>
    <col min="4100" max="4103" width="11.44140625" style="1"/>
    <col min="4104" max="4104" width="17.44140625" style="1" customWidth="1"/>
    <col min="4105" max="4353" width="11.44140625" style="1"/>
    <col min="4354" max="4354" width="3.109375" style="1" customWidth="1"/>
    <col min="4355" max="4355" width="32.44140625" style="1" customWidth="1"/>
    <col min="4356" max="4359" width="11.44140625" style="1"/>
    <col min="4360" max="4360" width="17.44140625" style="1" customWidth="1"/>
    <col min="4361" max="4609" width="11.44140625" style="1"/>
    <col min="4610" max="4610" width="3.109375" style="1" customWidth="1"/>
    <col min="4611" max="4611" width="32.44140625" style="1" customWidth="1"/>
    <col min="4612" max="4615" width="11.44140625" style="1"/>
    <col min="4616" max="4616" width="17.44140625" style="1" customWidth="1"/>
    <col min="4617" max="4865" width="11.44140625" style="1"/>
    <col min="4866" max="4866" width="3.109375" style="1" customWidth="1"/>
    <col min="4867" max="4867" width="32.44140625" style="1" customWidth="1"/>
    <col min="4868" max="4871" width="11.44140625" style="1"/>
    <col min="4872" max="4872" width="17.44140625" style="1" customWidth="1"/>
    <col min="4873" max="5121" width="11.44140625" style="1"/>
    <col min="5122" max="5122" width="3.109375" style="1" customWidth="1"/>
    <col min="5123" max="5123" width="32.44140625" style="1" customWidth="1"/>
    <col min="5124" max="5127" width="11.44140625" style="1"/>
    <col min="5128" max="5128" width="17.44140625" style="1" customWidth="1"/>
    <col min="5129" max="5377" width="11.44140625" style="1"/>
    <col min="5378" max="5378" width="3.109375" style="1" customWidth="1"/>
    <col min="5379" max="5379" width="32.44140625" style="1" customWidth="1"/>
    <col min="5380" max="5383" width="11.44140625" style="1"/>
    <col min="5384" max="5384" width="17.44140625" style="1" customWidth="1"/>
    <col min="5385" max="5633" width="11.44140625" style="1"/>
    <col min="5634" max="5634" width="3.109375" style="1" customWidth="1"/>
    <col min="5635" max="5635" width="32.44140625" style="1" customWidth="1"/>
    <col min="5636" max="5639" width="11.44140625" style="1"/>
    <col min="5640" max="5640" width="17.44140625" style="1" customWidth="1"/>
    <col min="5641" max="5889" width="11.44140625" style="1"/>
    <col min="5890" max="5890" width="3.109375" style="1" customWidth="1"/>
    <col min="5891" max="5891" width="32.44140625" style="1" customWidth="1"/>
    <col min="5892" max="5895" width="11.44140625" style="1"/>
    <col min="5896" max="5896" width="17.44140625" style="1" customWidth="1"/>
    <col min="5897" max="6145" width="11.44140625" style="1"/>
    <col min="6146" max="6146" width="3.109375" style="1" customWidth="1"/>
    <col min="6147" max="6147" width="32.44140625" style="1" customWidth="1"/>
    <col min="6148" max="6151" width="11.44140625" style="1"/>
    <col min="6152" max="6152" width="17.44140625" style="1" customWidth="1"/>
    <col min="6153" max="6401" width="11.44140625" style="1"/>
    <col min="6402" max="6402" width="3.109375" style="1" customWidth="1"/>
    <col min="6403" max="6403" width="32.44140625" style="1" customWidth="1"/>
    <col min="6404" max="6407" width="11.44140625" style="1"/>
    <col min="6408" max="6408" width="17.44140625" style="1" customWidth="1"/>
    <col min="6409" max="6657" width="11.44140625" style="1"/>
    <col min="6658" max="6658" width="3.109375" style="1" customWidth="1"/>
    <col min="6659" max="6659" width="32.44140625" style="1" customWidth="1"/>
    <col min="6660" max="6663" width="11.44140625" style="1"/>
    <col min="6664" max="6664" width="17.44140625" style="1" customWidth="1"/>
    <col min="6665" max="6913" width="11.44140625" style="1"/>
    <col min="6914" max="6914" width="3.109375" style="1" customWidth="1"/>
    <col min="6915" max="6915" width="32.44140625" style="1" customWidth="1"/>
    <col min="6916" max="6919" width="11.44140625" style="1"/>
    <col min="6920" max="6920" width="17.44140625" style="1" customWidth="1"/>
    <col min="6921" max="7169" width="11.44140625" style="1"/>
    <col min="7170" max="7170" width="3.109375" style="1" customWidth="1"/>
    <col min="7171" max="7171" width="32.44140625" style="1" customWidth="1"/>
    <col min="7172" max="7175" width="11.44140625" style="1"/>
    <col min="7176" max="7176" width="17.44140625" style="1" customWidth="1"/>
    <col min="7177" max="7425" width="11.44140625" style="1"/>
    <col min="7426" max="7426" width="3.109375" style="1" customWidth="1"/>
    <col min="7427" max="7427" width="32.44140625" style="1" customWidth="1"/>
    <col min="7428" max="7431" width="11.44140625" style="1"/>
    <col min="7432" max="7432" width="17.44140625" style="1" customWidth="1"/>
    <col min="7433" max="7681" width="11.44140625" style="1"/>
    <col min="7682" max="7682" width="3.109375" style="1" customWidth="1"/>
    <col min="7683" max="7683" width="32.44140625" style="1" customWidth="1"/>
    <col min="7684" max="7687" width="11.44140625" style="1"/>
    <col min="7688" max="7688" width="17.44140625" style="1" customWidth="1"/>
    <col min="7689" max="7937" width="11.44140625" style="1"/>
    <col min="7938" max="7938" width="3.109375" style="1" customWidth="1"/>
    <col min="7939" max="7939" width="32.44140625" style="1" customWidth="1"/>
    <col min="7940" max="7943" width="11.44140625" style="1"/>
    <col min="7944" max="7944" width="17.44140625" style="1" customWidth="1"/>
    <col min="7945" max="8193" width="11.44140625" style="1"/>
    <col min="8194" max="8194" width="3.109375" style="1" customWidth="1"/>
    <col min="8195" max="8195" width="32.44140625" style="1" customWidth="1"/>
    <col min="8196" max="8199" width="11.44140625" style="1"/>
    <col min="8200" max="8200" width="17.44140625" style="1" customWidth="1"/>
    <col min="8201" max="8449" width="11.44140625" style="1"/>
    <col min="8450" max="8450" width="3.109375" style="1" customWidth="1"/>
    <col min="8451" max="8451" width="32.44140625" style="1" customWidth="1"/>
    <col min="8452" max="8455" width="11.44140625" style="1"/>
    <col min="8456" max="8456" width="17.44140625" style="1" customWidth="1"/>
    <col min="8457" max="8705" width="11.44140625" style="1"/>
    <col min="8706" max="8706" width="3.109375" style="1" customWidth="1"/>
    <col min="8707" max="8707" width="32.44140625" style="1" customWidth="1"/>
    <col min="8708" max="8711" width="11.44140625" style="1"/>
    <col min="8712" max="8712" width="17.44140625" style="1" customWidth="1"/>
    <col min="8713" max="8961" width="11.44140625" style="1"/>
    <col min="8962" max="8962" width="3.109375" style="1" customWidth="1"/>
    <col min="8963" max="8963" width="32.44140625" style="1" customWidth="1"/>
    <col min="8964" max="8967" width="11.44140625" style="1"/>
    <col min="8968" max="8968" width="17.44140625" style="1" customWidth="1"/>
    <col min="8969" max="9217" width="11.44140625" style="1"/>
    <col min="9218" max="9218" width="3.109375" style="1" customWidth="1"/>
    <col min="9219" max="9219" width="32.44140625" style="1" customWidth="1"/>
    <col min="9220" max="9223" width="11.44140625" style="1"/>
    <col min="9224" max="9224" width="17.44140625" style="1" customWidth="1"/>
    <col min="9225" max="9473" width="11.44140625" style="1"/>
    <col min="9474" max="9474" width="3.109375" style="1" customWidth="1"/>
    <col min="9475" max="9475" width="32.44140625" style="1" customWidth="1"/>
    <col min="9476" max="9479" width="11.44140625" style="1"/>
    <col min="9480" max="9480" width="17.44140625" style="1" customWidth="1"/>
    <col min="9481" max="9729" width="11.44140625" style="1"/>
    <col min="9730" max="9730" width="3.109375" style="1" customWidth="1"/>
    <col min="9731" max="9731" width="32.44140625" style="1" customWidth="1"/>
    <col min="9732" max="9735" width="11.44140625" style="1"/>
    <col min="9736" max="9736" width="17.44140625" style="1" customWidth="1"/>
    <col min="9737" max="9985" width="11.44140625" style="1"/>
    <col min="9986" max="9986" width="3.109375" style="1" customWidth="1"/>
    <col min="9987" max="9987" width="32.44140625" style="1" customWidth="1"/>
    <col min="9988" max="9991" width="11.44140625" style="1"/>
    <col min="9992" max="9992" width="17.44140625" style="1" customWidth="1"/>
    <col min="9993" max="10241" width="11.44140625" style="1"/>
    <col min="10242" max="10242" width="3.109375" style="1" customWidth="1"/>
    <col min="10243" max="10243" width="32.44140625" style="1" customWidth="1"/>
    <col min="10244" max="10247" width="11.44140625" style="1"/>
    <col min="10248" max="10248" width="17.44140625" style="1" customWidth="1"/>
    <col min="10249" max="10497" width="11.44140625" style="1"/>
    <col min="10498" max="10498" width="3.109375" style="1" customWidth="1"/>
    <col min="10499" max="10499" width="32.44140625" style="1" customWidth="1"/>
    <col min="10500" max="10503" width="11.44140625" style="1"/>
    <col min="10504" max="10504" width="17.44140625" style="1" customWidth="1"/>
    <col min="10505" max="10753" width="11.44140625" style="1"/>
    <col min="10754" max="10754" width="3.109375" style="1" customWidth="1"/>
    <col min="10755" max="10755" width="32.44140625" style="1" customWidth="1"/>
    <col min="10756" max="10759" width="11.44140625" style="1"/>
    <col min="10760" max="10760" width="17.44140625" style="1" customWidth="1"/>
    <col min="10761" max="11009" width="11.44140625" style="1"/>
    <col min="11010" max="11010" width="3.109375" style="1" customWidth="1"/>
    <col min="11011" max="11011" width="32.44140625" style="1" customWidth="1"/>
    <col min="11012" max="11015" width="11.44140625" style="1"/>
    <col min="11016" max="11016" width="17.44140625" style="1" customWidth="1"/>
    <col min="11017" max="11265" width="11.44140625" style="1"/>
    <col min="11266" max="11266" width="3.109375" style="1" customWidth="1"/>
    <col min="11267" max="11267" width="32.44140625" style="1" customWidth="1"/>
    <col min="11268" max="11271" width="11.44140625" style="1"/>
    <col min="11272" max="11272" width="17.44140625" style="1" customWidth="1"/>
    <col min="11273" max="11521" width="11.44140625" style="1"/>
    <col min="11522" max="11522" width="3.109375" style="1" customWidth="1"/>
    <col min="11523" max="11523" width="32.44140625" style="1" customWidth="1"/>
    <col min="11524" max="11527" width="11.44140625" style="1"/>
    <col min="11528" max="11528" width="17.44140625" style="1" customWidth="1"/>
    <col min="11529" max="11777" width="11.44140625" style="1"/>
    <col min="11778" max="11778" width="3.109375" style="1" customWidth="1"/>
    <col min="11779" max="11779" width="32.44140625" style="1" customWidth="1"/>
    <col min="11780" max="11783" width="11.44140625" style="1"/>
    <col min="11784" max="11784" width="17.44140625" style="1" customWidth="1"/>
    <col min="11785" max="12033" width="11.44140625" style="1"/>
    <col min="12034" max="12034" width="3.109375" style="1" customWidth="1"/>
    <col min="12035" max="12035" width="32.44140625" style="1" customWidth="1"/>
    <col min="12036" max="12039" width="11.44140625" style="1"/>
    <col min="12040" max="12040" width="17.44140625" style="1" customWidth="1"/>
    <col min="12041" max="12289" width="11.44140625" style="1"/>
    <col min="12290" max="12290" width="3.109375" style="1" customWidth="1"/>
    <col min="12291" max="12291" width="32.44140625" style="1" customWidth="1"/>
    <col min="12292" max="12295" width="11.44140625" style="1"/>
    <col min="12296" max="12296" width="17.44140625" style="1" customWidth="1"/>
    <col min="12297" max="12545" width="11.44140625" style="1"/>
    <col min="12546" max="12546" width="3.109375" style="1" customWidth="1"/>
    <col min="12547" max="12547" width="32.44140625" style="1" customWidth="1"/>
    <col min="12548" max="12551" width="11.44140625" style="1"/>
    <col min="12552" max="12552" width="17.44140625" style="1" customWidth="1"/>
    <col min="12553" max="12801" width="11.44140625" style="1"/>
    <col min="12802" max="12802" width="3.109375" style="1" customWidth="1"/>
    <col min="12803" max="12803" width="32.44140625" style="1" customWidth="1"/>
    <col min="12804" max="12807" width="11.44140625" style="1"/>
    <col min="12808" max="12808" width="17.44140625" style="1" customWidth="1"/>
    <col min="12809" max="13057" width="11.44140625" style="1"/>
    <col min="13058" max="13058" width="3.109375" style="1" customWidth="1"/>
    <col min="13059" max="13059" width="32.44140625" style="1" customWidth="1"/>
    <col min="13060" max="13063" width="11.44140625" style="1"/>
    <col min="13064" max="13064" width="17.44140625" style="1" customWidth="1"/>
    <col min="13065" max="13313" width="11.44140625" style="1"/>
    <col min="13314" max="13314" width="3.109375" style="1" customWidth="1"/>
    <col min="13315" max="13315" width="32.44140625" style="1" customWidth="1"/>
    <col min="13316" max="13319" width="11.44140625" style="1"/>
    <col min="13320" max="13320" width="17.44140625" style="1" customWidth="1"/>
    <col min="13321" max="13569" width="11.44140625" style="1"/>
    <col min="13570" max="13570" width="3.109375" style="1" customWidth="1"/>
    <col min="13571" max="13571" width="32.44140625" style="1" customWidth="1"/>
    <col min="13572" max="13575" width="11.44140625" style="1"/>
    <col min="13576" max="13576" width="17.44140625" style="1" customWidth="1"/>
    <col min="13577" max="13825" width="11.44140625" style="1"/>
    <col min="13826" max="13826" width="3.109375" style="1" customWidth="1"/>
    <col min="13827" max="13827" width="32.44140625" style="1" customWidth="1"/>
    <col min="13828" max="13831" width="11.44140625" style="1"/>
    <col min="13832" max="13832" width="17.44140625" style="1" customWidth="1"/>
    <col min="13833" max="14081" width="11.44140625" style="1"/>
    <col min="14082" max="14082" width="3.109375" style="1" customWidth="1"/>
    <col min="14083" max="14083" width="32.44140625" style="1" customWidth="1"/>
    <col min="14084" max="14087" width="11.44140625" style="1"/>
    <col min="14088" max="14088" width="17.44140625" style="1" customWidth="1"/>
    <col min="14089" max="14337" width="11.44140625" style="1"/>
    <col min="14338" max="14338" width="3.109375" style="1" customWidth="1"/>
    <col min="14339" max="14339" width="32.44140625" style="1" customWidth="1"/>
    <col min="14340" max="14343" width="11.44140625" style="1"/>
    <col min="14344" max="14344" width="17.44140625" style="1" customWidth="1"/>
    <col min="14345" max="14593" width="11.44140625" style="1"/>
    <col min="14594" max="14594" width="3.109375" style="1" customWidth="1"/>
    <col min="14595" max="14595" width="32.44140625" style="1" customWidth="1"/>
    <col min="14596" max="14599" width="11.44140625" style="1"/>
    <col min="14600" max="14600" width="17.44140625" style="1" customWidth="1"/>
    <col min="14601" max="14849" width="11.44140625" style="1"/>
    <col min="14850" max="14850" width="3.109375" style="1" customWidth="1"/>
    <col min="14851" max="14851" width="32.44140625" style="1" customWidth="1"/>
    <col min="14852" max="14855" width="11.44140625" style="1"/>
    <col min="14856" max="14856" width="17.44140625" style="1" customWidth="1"/>
    <col min="14857" max="15105" width="11.44140625" style="1"/>
    <col min="15106" max="15106" width="3.109375" style="1" customWidth="1"/>
    <col min="15107" max="15107" width="32.44140625" style="1" customWidth="1"/>
    <col min="15108" max="15111" width="11.44140625" style="1"/>
    <col min="15112" max="15112" width="17.44140625" style="1" customWidth="1"/>
    <col min="15113" max="15361" width="11.44140625" style="1"/>
    <col min="15362" max="15362" width="3.109375" style="1" customWidth="1"/>
    <col min="15363" max="15363" width="32.44140625" style="1" customWidth="1"/>
    <col min="15364" max="15367" width="11.44140625" style="1"/>
    <col min="15368" max="15368" width="17.44140625" style="1" customWidth="1"/>
    <col min="15369" max="15617" width="11.44140625" style="1"/>
    <col min="15618" max="15618" width="3.109375" style="1" customWidth="1"/>
    <col min="15619" max="15619" width="32.44140625" style="1" customWidth="1"/>
    <col min="15620" max="15623" width="11.44140625" style="1"/>
    <col min="15624" max="15624" width="17.44140625" style="1" customWidth="1"/>
    <col min="15625" max="15873" width="11.44140625" style="1"/>
    <col min="15874" max="15874" width="3.109375" style="1" customWidth="1"/>
    <col min="15875" max="15875" width="32.44140625" style="1" customWidth="1"/>
    <col min="15876" max="15879" width="11.44140625" style="1"/>
    <col min="15880" max="15880" width="17.44140625" style="1" customWidth="1"/>
    <col min="15881" max="16129" width="11.44140625" style="1"/>
    <col min="16130" max="16130" width="3.109375" style="1" customWidth="1"/>
    <col min="16131" max="16131" width="32.44140625" style="1" customWidth="1"/>
    <col min="16132" max="16135" width="11.44140625" style="1"/>
    <col min="16136" max="16136" width="17.44140625" style="1" customWidth="1"/>
    <col min="16137" max="16384" width="11.44140625" style="1"/>
  </cols>
  <sheetData>
    <row r="2" spans="2:14" ht="20.25" customHeight="1">
      <c r="B2" s="319" t="s">
        <v>182</v>
      </c>
      <c r="C2" s="320"/>
      <c r="D2" s="320"/>
      <c r="E2" s="320"/>
      <c r="F2" s="320"/>
      <c r="G2" s="320"/>
      <c r="H2" s="320"/>
      <c r="I2" s="321"/>
      <c r="J2" s="101"/>
    </row>
    <row r="3" spans="2:14" ht="14.4" thickBot="1"/>
    <row r="4" spans="2:14" ht="14.4" thickBot="1">
      <c r="B4" s="116"/>
      <c r="C4" s="121" t="s">
        <v>101</v>
      </c>
      <c r="D4" s="122" t="s">
        <v>102</v>
      </c>
      <c r="E4" s="123" t="s">
        <v>103</v>
      </c>
      <c r="F4" s="201" t="s">
        <v>198</v>
      </c>
      <c r="G4" s="121" t="s">
        <v>2</v>
      </c>
      <c r="H4" s="122" t="s">
        <v>3</v>
      </c>
      <c r="I4" s="123" t="s">
        <v>4</v>
      </c>
      <c r="J4" s="102" t="s">
        <v>115</v>
      </c>
      <c r="K4" s="3" t="s">
        <v>116</v>
      </c>
      <c r="M4" s="74" t="s">
        <v>110</v>
      </c>
      <c r="N4" s="88">
        <f>'Estado de Resultados'!M4</f>
        <v>0.08</v>
      </c>
    </row>
    <row r="5" spans="2:14" s="78" customFormat="1" ht="17.25" customHeight="1">
      <c r="B5" s="112" t="s">
        <v>135</v>
      </c>
      <c r="C5" s="117">
        <f>Ventas!N14</f>
        <v>468000000</v>
      </c>
      <c r="D5" s="118">
        <f>Ventas!N15</f>
        <v>321000000</v>
      </c>
      <c r="E5" s="119">
        <f>Ventas!N16</f>
        <v>266000000</v>
      </c>
      <c r="F5" s="202"/>
      <c r="G5" s="120">
        <f>Ventas!N26</f>
        <v>4405400000</v>
      </c>
      <c r="H5" s="118">
        <f>Ventas!N27</f>
        <v>4625670000</v>
      </c>
      <c r="I5" s="119">
        <f>Ventas!N28</f>
        <v>4819948140</v>
      </c>
      <c r="J5" s="103">
        <f>Ventas!N29</f>
        <v>5022385961.8800001</v>
      </c>
      <c r="K5" s="89">
        <f>Ventas!N30</f>
        <v>5233326172.2789593</v>
      </c>
    </row>
    <row r="6" spans="2:14" s="78" customFormat="1" ht="17.25" customHeight="1">
      <c r="B6" s="112" t="s">
        <v>141</v>
      </c>
      <c r="C6" s="109">
        <f>'Costos Variables'!$G$14</f>
        <v>138800000</v>
      </c>
      <c r="D6" s="89">
        <f>'Costos Variables'!$G$15</f>
        <v>101710000</v>
      </c>
      <c r="E6" s="105">
        <f>'Costos Variables'!$G$16</f>
        <v>86000000</v>
      </c>
      <c r="F6" s="203"/>
      <c r="G6" s="106">
        <f>'Costos Variables'!$G$26</f>
        <v>1189458000</v>
      </c>
      <c r="H6" s="89">
        <f>'Costos Variables'!$G$27</f>
        <v>1248930900</v>
      </c>
      <c r="I6" s="105">
        <f>'Costos Variables'!G28</f>
        <v>1301385997.8</v>
      </c>
      <c r="J6" s="103">
        <f>'Costos Variables'!G29</f>
        <v>1356044209.7076001</v>
      </c>
      <c r="K6" s="89">
        <f>'Costos Variables'!$G$27</f>
        <v>1248930900</v>
      </c>
      <c r="L6" s="90"/>
    </row>
    <row r="7" spans="2:14" s="78" customFormat="1" ht="17.25" customHeight="1">
      <c r="B7" s="113" t="s">
        <v>107</v>
      </c>
      <c r="C7" s="107">
        <f t="shared" ref="C7:H7" si="0">C5-C6</f>
        <v>329200000</v>
      </c>
      <c r="D7" s="95">
        <f t="shared" si="0"/>
        <v>219290000</v>
      </c>
      <c r="E7" s="108">
        <f t="shared" si="0"/>
        <v>180000000</v>
      </c>
      <c r="F7" s="204"/>
      <c r="G7" s="107">
        <f t="shared" si="0"/>
        <v>3215942000</v>
      </c>
      <c r="H7" s="95">
        <f t="shared" si="0"/>
        <v>3376739100</v>
      </c>
      <c r="I7" s="108">
        <f>I5-I6</f>
        <v>3518562142.1999998</v>
      </c>
      <c r="J7" s="104">
        <f>J5-J6</f>
        <v>3666341752.1724</v>
      </c>
      <c r="K7" s="91">
        <f>K5-K6</f>
        <v>3984395272.2789593</v>
      </c>
      <c r="L7" s="90"/>
    </row>
    <row r="8" spans="2:14" s="78" customFormat="1" ht="17.25" hidden="1" customHeight="1">
      <c r="B8" s="114" t="s">
        <v>124</v>
      </c>
      <c r="C8" s="109">
        <f>'Gastos Fijos'!C9</f>
        <v>0</v>
      </c>
      <c r="D8" s="89">
        <f>'Gastos Fijos'!C9</f>
        <v>0</v>
      </c>
      <c r="E8" s="105">
        <f>'Gastos Fijos'!C9</f>
        <v>0</v>
      </c>
      <c r="F8" s="203"/>
      <c r="G8" s="109">
        <f>'Gastos Fijos'!C9*12</f>
        <v>0</v>
      </c>
      <c r="H8" s="89">
        <f t="shared" ref="H8:K9" si="1">(G8*$N$4)+G8</f>
        <v>0</v>
      </c>
      <c r="I8" s="105">
        <f t="shared" si="1"/>
        <v>0</v>
      </c>
      <c r="J8" s="103">
        <f t="shared" si="1"/>
        <v>0</v>
      </c>
      <c r="K8" s="89">
        <f t="shared" si="1"/>
        <v>0</v>
      </c>
      <c r="L8" s="90"/>
    </row>
    <row r="9" spans="2:14" s="78" customFormat="1" ht="17.25" customHeight="1">
      <c r="B9" s="114" t="s">
        <v>123</v>
      </c>
      <c r="C9" s="109">
        <f>'Gastos Fijos'!C10</f>
        <v>2000000</v>
      </c>
      <c r="D9" s="89">
        <f>'Gastos Fijos'!C10</f>
        <v>2000000</v>
      </c>
      <c r="E9" s="105">
        <f>'Gastos Fijos'!C10</f>
        <v>2000000</v>
      </c>
      <c r="F9" s="203"/>
      <c r="G9" s="109">
        <f>'Gastos Fijos'!C10*12</f>
        <v>24000000</v>
      </c>
      <c r="H9" s="89">
        <f t="shared" si="1"/>
        <v>25920000</v>
      </c>
      <c r="I9" s="105">
        <f t="shared" si="1"/>
        <v>27993600</v>
      </c>
      <c r="J9" s="103">
        <f t="shared" si="1"/>
        <v>30233088</v>
      </c>
      <c r="K9" s="89">
        <f t="shared" si="1"/>
        <v>32651735.039999999</v>
      </c>
      <c r="L9" s="90"/>
    </row>
    <row r="10" spans="2:14" s="78" customFormat="1" ht="17.25" customHeight="1">
      <c r="B10" s="115" t="s">
        <v>104</v>
      </c>
      <c r="C10" s="109">
        <f>'Gastos Fijos'!T33</f>
        <v>9416324</v>
      </c>
      <c r="D10" s="89">
        <f>'Gastos Fijos'!T33</f>
        <v>9416324</v>
      </c>
      <c r="E10" s="105">
        <f>'Gastos Fijos'!T33</f>
        <v>9416324</v>
      </c>
      <c r="F10" s="203"/>
      <c r="G10" s="109">
        <f>'Gastos Fijos'!T33*12</f>
        <v>112995888</v>
      </c>
      <c r="H10" s="89">
        <f>(G10*$N$4)+G10</f>
        <v>122035559.04000001</v>
      </c>
      <c r="I10" s="105">
        <f>(H10*$N$4)+H10</f>
        <v>131798403.76320001</v>
      </c>
      <c r="J10" s="103" t="e">
        <f>(I10*#REF!)+I10</f>
        <v>#REF!</v>
      </c>
      <c r="K10" s="89" t="e">
        <f>(J10*#REF!)+J10</f>
        <v>#REF!</v>
      </c>
      <c r="L10" s="90"/>
    </row>
    <row r="11" spans="2:14" s="78" customFormat="1" ht="17.25" customHeight="1">
      <c r="B11" s="114" t="s">
        <v>129</v>
      </c>
      <c r="C11" s="109">
        <f>'Gastos Fijos'!C11+'Gastos Fijos'!C12</f>
        <v>550000</v>
      </c>
      <c r="D11" s="89">
        <f>'Gastos Fijos'!C11+'Gastos Fijos'!C12</f>
        <v>550000</v>
      </c>
      <c r="E11" s="105">
        <f>'Gastos Fijos'!C12+'Gastos Fijos'!C11</f>
        <v>550000</v>
      </c>
      <c r="F11" s="203"/>
      <c r="G11" s="109">
        <f>E11*12</f>
        <v>6600000</v>
      </c>
      <c r="H11" s="89">
        <f t="shared" ref="H11:K15" si="2">(G11*$N$4)+G11</f>
        <v>7128000</v>
      </c>
      <c r="I11" s="105">
        <f t="shared" si="2"/>
        <v>7698240</v>
      </c>
      <c r="J11" s="103">
        <f t="shared" si="2"/>
        <v>8314099.2000000002</v>
      </c>
      <c r="K11" s="89">
        <f t="shared" si="2"/>
        <v>8979227.1359999999</v>
      </c>
      <c r="L11" s="90"/>
    </row>
    <row r="12" spans="2:14" s="78" customFormat="1" ht="17.25" customHeight="1">
      <c r="B12" s="114" t="s">
        <v>105</v>
      </c>
      <c r="C12" s="109">
        <f>'Gastos Fijos'!C13</f>
        <v>2000000</v>
      </c>
      <c r="D12" s="89">
        <f>'Gastos Fijos'!C13</f>
        <v>2000000</v>
      </c>
      <c r="E12" s="105">
        <f>'Gastos Fijos'!C13</f>
        <v>2000000</v>
      </c>
      <c r="F12" s="203"/>
      <c r="G12" s="109">
        <f>E12*12</f>
        <v>24000000</v>
      </c>
      <c r="H12" s="89">
        <f t="shared" si="2"/>
        <v>25920000</v>
      </c>
      <c r="I12" s="105">
        <f t="shared" si="2"/>
        <v>27993600</v>
      </c>
      <c r="J12" s="103">
        <f t="shared" si="2"/>
        <v>30233088</v>
      </c>
      <c r="K12" s="89">
        <f t="shared" si="2"/>
        <v>32651735.039999999</v>
      </c>
      <c r="L12" s="90"/>
    </row>
    <row r="13" spans="2:14" s="78" customFormat="1" ht="17.25" hidden="1" customHeight="1">
      <c r="B13" s="114" t="s">
        <v>96</v>
      </c>
      <c r="C13" s="109">
        <f>'Gastos Fijos'!C14</f>
        <v>0</v>
      </c>
      <c r="D13" s="89">
        <f>'Gastos Fijos'!C14</f>
        <v>0</v>
      </c>
      <c r="E13" s="105">
        <f>'Gastos Fijos'!C14</f>
        <v>0</v>
      </c>
      <c r="F13" s="203"/>
      <c r="G13" s="109">
        <f>E13*12</f>
        <v>0</v>
      </c>
      <c r="H13" s="89">
        <f t="shared" si="2"/>
        <v>0</v>
      </c>
      <c r="I13" s="105">
        <f t="shared" si="2"/>
        <v>0</v>
      </c>
      <c r="J13" s="103">
        <f t="shared" si="2"/>
        <v>0</v>
      </c>
      <c r="K13" s="89">
        <f t="shared" si="2"/>
        <v>0</v>
      </c>
      <c r="L13" s="90"/>
    </row>
    <row r="14" spans="2:14" s="78" customFormat="1" ht="17.25" customHeight="1">
      <c r="B14" s="114" t="s">
        <v>106</v>
      </c>
      <c r="C14" s="109">
        <f>'Gastos Fijos'!C15+'Gastos Fijos'!C16</f>
        <v>80000</v>
      </c>
      <c r="D14" s="89">
        <f>'Gastos Fijos'!C15+'Gastos Fijos'!C16</f>
        <v>80000</v>
      </c>
      <c r="E14" s="105">
        <f>'Gastos Fijos'!C15+'Gastos Fijos'!C16</f>
        <v>80000</v>
      </c>
      <c r="F14" s="203"/>
      <c r="G14" s="109">
        <f>E14*12</f>
        <v>960000</v>
      </c>
      <c r="H14" s="89">
        <f t="shared" si="2"/>
        <v>1036800</v>
      </c>
      <c r="I14" s="105">
        <f t="shared" si="2"/>
        <v>1119744</v>
      </c>
      <c r="J14" s="103">
        <f t="shared" si="2"/>
        <v>1209323.52</v>
      </c>
      <c r="K14" s="89">
        <f t="shared" si="2"/>
        <v>1306069.4016</v>
      </c>
      <c r="L14" s="90"/>
    </row>
    <row r="15" spans="2:14" s="78" customFormat="1" ht="17.25" customHeight="1">
      <c r="B15" s="114" t="s">
        <v>130</v>
      </c>
      <c r="C15" s="109">
        <f>'Gastos Fijos'!C17+'Gastos Fijos'!C18</f>
        <v>1050000</v>
      </c>
      <c r="D15" s="89">
        <f>'Gastos Fijos'!C17+'Gastos Fijos'!C18</f>
        <v>1050000</v>
      </c>
      <c r="E15" s="105">
        <f>'Gastos Fijos'!C17+'Gastos Fijos'!C18</f>
        <v>1050000</v>
      </c>
      <c r="F15" s="203"/>
      <c r="G15" s="109">
        <f>E15*12</f>
        <v>12600000</v>
      </c>
      <c r="H15" s="89">
        <f t="shared" si="2"/>
        <v>13608000</v>
      </c>
      <c r="I15" s="105">
        <f t="shared" si="2"/>
        <v>14696640</v>
      </c>
      <c r="J15" s="103">
        <f t="shared" si="2"/>
        <v>15872371.199999999</v>
      </c>
      <c r="K15" s="89">
        <f t="shared" si="2"/>
        <v>17142160.895999998</v>
      </c>
      <c r="L15" s="90"/>
    </row>
    <row r="16" spans="2:14" s="78" customFormat="1" ht="17.25" customHeight="1">
      <c r="B16" s="114" t="s">
        <v>196</v>
      </c>
      <c r="C16" s="109">
        <f>'Inversión Inicial'!I27/12</f>
        <v>275000</v>
      </c>
      <c r="D16" s="89">
        <f>'Inversión Inicial'!I27/12</f>
        <v>275000</v>
      </c>
      <c r="E16" s="105">
        <f>'Inversión Inicial'!J27/12</f>
        <v>666666.66666666663</v>
      </c>
      <c r="F16" s="203"/>
      <c r="G16" s="185">
        <v>0</v>
      </c>
      <c r="H16" s="186">
        <v>0</v>
      </c>
      <c r="I16" s="187">
        <v>0</v>
      </c>
      <c r="J16" s="103">
        <f>'Inversión Inicial'!L14</f>
        <v>12000000</v>
      </c>
      <c r="K16" s="89">
        <f>'Inversión Inicial'!M14</f>
        <v>12200000</v>
      </c>
    </row>
    <row r="17" spans="2:13" s="78" customFormat="1" ht="17.25" customHeight="1">
      <c r="B17" s="114" t="s">
        <v>108</v>
      </c>
      <c r="C17" s="109">
        <f t="shared" ref="C17:K17" si="3">SUM(C8:C16)</f>
        <v>15371324</v>
      </c>
      <c r="D17" s="89">
        <f t="shared" si="3"/>
        <v>15371324</v>
      </c>
      <c r="E17" s="105">
        <f t="shared" si="3"/>
        <v>15762990.666666666</v>
      </c>
      <c r="F17" s="203"/>
      <c r="G17" s="109">
        <f t="shared" si="3"/>
        <v>181155888</v>
      </c>
      <c r="H17" s="89">
        <f t="shared" si="3"/>
        <v>195648359.04000002</v>
      </c>
      <c r="I17" s="105">
        <f t="shared" si="3"/>
        <v>211300227.76320001</v>
      </c>
      <c r="J17" s="103" t="e">
        <f t="shared" si="3"/>
        <v>#REF!</v>
      </c>
      <c r="K17" s="89" t="e">
        <f t="shared" si="3"/>
        <v>#REF!</v>
      </c>
    </row>
    <row r="18" spans="2:13" s="78" customFormat="1" ht="17.25" customHeight="1">
      <c r="B18" s="113" t="s">
        <v>109</v>
      </c>
      <c r="C18" s="107">
        <f t="shared" ref="C18:K18" si="4">C7-C17</f>
        <v>313828676</v>
      </c>
      <c r="D18" s="95">
        <f t="shared" si="4"/>
        <v>203918676</v>
      </c>
      <c r="E18" s="108">
        <f t="shared" si="4"/>
        <v>164237009.33333334</v>
      </c>
      <c r="F18" s="204"/>
      <c r="G18" s="110">
        <f t="shared" si="4"/>
        <v>3034786112</v>
      </c>
      <c r="H18" s="96">
        <f t="shared" si="4"/>
        <v>3181090740.96</v>
      </c>
      <c r="I18" s="111">
        <f t="shared" si="4"/>
        <v>3307261914.4368</v>
      </c>
      <c r="J18" s="104" t="e">
        <f t="shared" si="4"/>
        <v>#REF!</v>
      </c>
      <c r="K18" s="91" t="e">
        <f t="shared" si="4"/>
        <v>#REF!</v>
      </c>
    </row>
    <row r="19" spans="2:13" s="78" customFormat="1" ht="17.25" customHeight="1">
      <c r="B19" s="114" t="s">
        <v>86</v>
      </c>
      <c r="C19" s="109">
        <f>Financiación!$C$22+Financiación!$D$26</f>
        <v>396500</v>
      </c>
      <c r="D19" s="89">
        <f>Financiación!$D$27</f>
        <v>192695.23566242374</v>
      </c>
      <c r="E19" s="105">
        <f>Financiación!$D$28</f>
        <v>188815.70770561401</v>
      </c>
      <c r="F19" s="203"/>
      <c r="G19" s="109">
        <v>0</v>
      </c>
      <c r="H19" s="89">
        <f>Financiación!$C$19</f>
        <v>2089686.9539854762</v>
      </c>
      <c r="I19" s="192">
        <f>H19</f>
        <v>2089686.9539854762</v>
      </c>
      <c r="J19" s="103">
        <f>Financiación!$E$19</f>
        <v>546915.22877212311</v>
      </c>
      <c r="K19" s="89">
        <f>Financiación!$F$19</f>
        <v>0</v>
      </c>
    </row>
    <row r="20" spans="2:13" s="78" customFormat="1" ht="17.25" customHeight="1">
      <c r="B20" s="113" t="s">
        <v>87</v>
      </c>
      <c r="C20" s="107">
        <f t="shared" ref="C20:E20" si="5">C18-C19</f>
        <v>313432176</v>
      </c>
      <c r="D20" s="95">
        <f t="shared" si="5"/>
        <v>203725980.76433757</v>
      </c>
      <c r="E20" s="108">
        <f t="shared" si="5"/>
        <v>164048193.62562773</v>
      </c>
      <c r="F20" s="204"/>
      <c r="G20" s="110">
        <f>G18-G19</f>
        <v>3034786112</v>
      </c>
      <c r="H20" s="96">
        <f>H18-H19</f>
        <v>3179001054.0060143</v>
      </c>
      <c r="I20" s="96">
        <f>I18-I19</f>
        <v>3305172227.4828143</v>
      </c>
      <c r="J20" s="104" t="e">
        <f>J18-J19</f>
        <v>#REF!</v>
      </c>
      <c r="K20" s="91" t="e">
        <f>K18-K19</f>
        <v>#REF!</v>
      </c>
    </row>
    <row r="21" spans="2:13" s="78" customFormat="1" ht="17.25" customHeight="1">
      <c r="B21" s="114" t="s">
        <v>142</v>
      </c>
      <c r="C21" s="109">
        <f t="shared" ref="C21:E21" si="6">C20*33%</f>
        <v>103432618.08</v>
      </c>
      <c r="D21" s="89">
        <f t="shared" si="6"/>
        <v>67229573.652231395</v>
      </c>
      <c r="E21" s="105">
        <f t="shared" si="6"/>
        <v>54135903.896457151</v>
      </c>
      <c r="F21" s="203"/>
      <c r="G21" s="109">
        <f>G5*19%</f>
        <v>837026000</v>
      </c>
      <c r="H21" s="89">
        <f>H5*19%</f>
        <v>878877300</v>
      </c>
      <c r="I21" s="105">
        <f>I5*19%</f>
        <v>915790146.60000002</v>
      </c>
      <c r="J21" s="103" t="e">
        <f t="shared" ref="J21" si="7">J20*35%</f>
        <v>#REF!</v>
      </c>
      <c r="K21" s="89" t="e">
        <f>K20*35%</f>
        <v>#REF!</v>
      </c>
      <c r="M21" s="97"/>
    </row>
    <row r="22" spans="2:13" s="78" customFormat="1" ht="17.25" customHeight="1">
      <c r="B22" s="114" t="s">
        <v>143</v>
      </c>
      <c r="C22" s="109">
        <v>0</v>
      </c>
      <c r="D22" s="89">
        <v>0</v>
      </c>
      <c r="E22" s="105">
        <v>0</v>
      </c>
      <c r="F22" s="203"/>
      <c r="G22" s="109">
        <f>'Estado de Resultados'!F22</f>
        <v>925134000.00000012</v>
      </c>
      <c r="H22" s="109">
        <f>'Estado de Resultados'!G22</f>
        <v>971390700.00000012</v>
      </c>
      <c r="I22" s="109">
        <f>'Estado de Resultados'!H22</f>
        <v>1012189109.4000001</v>
      </c>
      <c r="J22" s="103"/>
      <c r="K22" s="89"/>
      <c r="M22" s="97"/>
    </row>
    <row r="23" spans="2:13" s="78" customFormat="1" ht="17.25" customHeight="1" thickBot="1">
      <c r="B23" s="124" t="s">
        <v>88</v>
      </c>
      <c r="C23" s="125">
        <f t="shared" ref="C23:K23" si="8">C20-C21</f>
        <v>209999557.92000002</v>
      </c>
      <c r="D23" s="126">
        <f t="shared" si="8"/>
        <v>136496407.11210617</v>
      </c>
      <c r="E23" s="127">
        <f t="shared" si="8"/>
        <v>109912289.72917058</v>
      </c>
      <c r="F23" s="205"/>
      <c r="G23" s="128">
        <f>G20-G21-G22</f>
        <v>1272626112</v>
      </c>
      <c r="H23" s="128">
        <f t="shared" ref="H23:I23" si="9">H20-H21-H22</f>
        <v>1328733054.0060143</v>
      </c>
      <c r="I23" s="128">
        <f t="shared" si="9"/>
        <v>1377192971.4828143</v>
      </c>
      <c r="J23" s="104" t="e">
        <f t="shared" si="8"/>
        <v>#REF!</v>
      </c>
      <c r="K23" s="91" t="e">
        <f t="shared" si="8"/>
        <v>#REF!</v>
      </c>
    </row>
    <row r="25" spans="2:13">
      <c r="F25" s="99" t="s">
        <v>199</v>
      </c>
    </row>
    <row r="26" spans="2:13">
      <c r="B26" s="206" t="s">
        <v>203</v>
      </c>
      <c r="C26" s="206"/>
      <c r="D26" s="206"/>
      <c r="E26" s="206"/>
      <c r="F26" s="226">
        <f>-'Inversión Inicial'!C33</f>
        <v>-34500000</v>
      </c>
      <c r="G26" s="207">
        <f>G23+G16+G19</f>
        <v>1272626112</v>
      </c>
      <c r="H26" s="207">
        <f>H23+H16+H19</f>
        <v>1330822740.9599998</v>
      </c>
      <c r="I26" s="207">
        <f>I23+I16+I19</f>
        <v>1379282658.4367998</v>
      </c>
    </row>
    <row r="27" spans="2:13">
      <c r="B27" s="206" t="s">
        <v>197</v>
      </c>
      <c r="C27" s="206"/>
      <c r="D27" s="206"/>
      <c r="E27" s="206"/>
      <c r="F27" s="206"/>
      <c r="G27" s="207">
        <f>G26</f>
        <v>1272626112</v>
      </c>
      <c r="H27" s="207">
        <f>H26+G27</f>
        <v>2603448852.96</v>
      </c>
      <c r="I27" s="207">
        <f>I26+H27</f>
        <v>3982731511.3968</v>
      </c>
    </row>
    <row r="29" spans="2:13">
      <c r="B29" s="1" t="s">
        <v>200</v>
      </c>
    </row>
    <row r="30" spans="2:13">
      <c r="B30" s="208">
        <v>0.08</v>
      </c>
    </row>
    <row r="31" spans="2:13">
      <c r="G31" s="333" t="s">
        <v>259</v>
      </c>
      <c r="H31" s="333"/>
      <c r="I31" s="333"/>
    </row>
    <row r="32" spans="2:13">
      <c r="B32" s="1" t="s">
        <v>201</v>
      </c>
      <c r="F32" s="209" cm="1">
        <f t="array" ref="F32">NPV(B30,G26:I26+F26)</f>
        <v>3325332707.563633</v>
      </c>
      <c r="H32" s="236" t="str">
        <f>IF(F32&gt;=0,"PROYECTO VIABLE ","PROYECTO NO VIABLE")</f>
        <v xml:space="preserve">PROYECTO VIABLE </v>
      </c>
    </row>
    <row r="33" spans="2:9">
      <c r="B33" s="1" t="s">
        <v>202</v>
      </c>
      <c r="F33" s="198">
        <f>IRR(F26:I26)</f>
        <v>36.932427207657057</v>
      </c>
      <c r="H33" s="236" t="str">
        <f>IF(F33&gt;=B30,"RENTABILIDAD ACEPTADA ","RENTABILIDAD NO ACEPTADA")</f>
        <v xml:space="preserve">RENTABILIDAD ACEPTADA </v>
      </c>
    </row>
    <row r="36" spans="2:9">
      <c r="C36" s="237"/>
      <c r="D36" s="237"/>
      <c r="E36" s="237"/>
      <c r="F36" s="237"/>
      <c r="G36" s="237"/>
      <c r="H36" s="237"/>
      <c r="I36" s="237"/>
    </row>
    <row r="37" spans="2:9" ht="28.5" customHeight="1" thickBot="1">
      <c r="B37" s="275" t="s">
        <v>312</v>
      </c>
      <c r="F37" s="332"/>
      <c r="G37" s="332"/>
    </row>
    <row r="38" spans="2:9" ht="43.95" customHeight="1" thickBot="1">
      <c r="B38" s="337" t="s">
        <v>311</v>
      </c>
      <c r="C38" s="338"/>
      <c r="D38" s="338"/>
      <c r="E38" s="338"/>
      <c r="F38" s="338"/>
      <c r="G38" s="338"/>
      <c r="H38" s="338"/>
      <c r="I38" s="339"/>
    </row>
    <row r="39" spans="2:9" ht="106.95" customHeight="1" thickBot="1">
      <c r="B39" s="334"/>
      <c r="C39" s="335"/>
      <c r="D39" s="335"/>
      <c r="E39" s="335"/>
      <c r="F39" s="335"/>
      <c r="G39" s="335"/>
      <c r="H39" s="335"/>
      <c r="I39" s="336"/>
    </row>
  </sheetData>
  <protectedRanges>
    <protectedRange sqref="L6:L15" name="costes fijos"/>
    <protectedRange sqref="L6:L13" name="Meses"/>
  </protectedRanges>
  <mergeCells count="5">
    <mergeCell ref="B2:I2"/>
    <mergeCell ref="F37:G37"/>
    <mergeCell ref="G31:I31"/>
    <mergeCell ref="B39:I39"/>
    <mergeCell ref="B38:I38"/>
  </mergeCells>
  <pageMargins left="0.7" right="0.7" top="0.75" bottom="0.75" header="0.3" footer="0.3"/>
  <pageSetup orientation="portrait" horizontalDpi="1200" verticalDpi="1200" r:id="rId1"/>
  <ignoredErrors>
    <ignoredError sqref="I20 I26:I27 F32:F33" evalError="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A4537-51FC-409E-A43A-1C8E06BD89A9}">
  <sheetPr codeName="Hoja10">
    <tabColor rgb="FF00B0F0"/>
  </sheetPr>
  <dimension ref="A1:AG144"/>
  <sheetViews>
    <sheetView topLeftCell="A10" workbookViewId="0">
      <selection activeCell="H33" sqref="H33"/>
    </sheetView>
  </sheetViews>
  <sheetFormatPr baseColWidth="10" defaultRowHeight="14.4"/>
  <cols>
    <col min="1" max="1" width="10.77734375" style="211"/>
    <col min="2" max="2" width="27.33203125" bestFit="1" customWidth="1"/>
    <col min="3" max="3" width="36.44140625" customWidth="1"/>
    <col min="4" max="4" width="14.77734375" customWidth="1"/>
    <col min="5" max="6" width="19.44140625" customWidth="1"/>
    <col min="7" max="7" width="22.44140625" bestFit="1" customWidth="1"/>
    <col min="8" max="8" width="35.44140625" customWidth="1"/>
    <col min="9" max="9" width="33.6640625" customWidth="1"/>
    <col min="10" max="10" width="37.77734375" style="211" customWidth="1"/>
    <col min="11" max="33" width="10.77734375" style="211"/>
  </cols>
  <sheetData>
    <row r="1" spans="2:9" s="211" customFormat="1"/>
    <row r="2" spans="2:9" s="211" customFormat="1">
      <c r="C2" s="212" t="s">
        <v>207</v>
      </c>
      <c r="D2" s="212"/>
      <c r="E2" s="371" t="s">
        <v>208</v>
      </c>
      <c r="F2" s="371"/>
      <c r="G2" s="371"/>
      <c r="H2" s="212" t="s">
        <v>213</v>
      </c>
      <c r="I2" s="212" t="s">
        <v>209</v>
      </c>
    </row>
    <row r="3" spans="2:9" s="211" customFormat="1">
      <c r="D3" s="211" t="s">
        <v>227</v>
      </c>
      <c r="E3" s="212" t="s">
        <v>192</v>
      </c>
      <c r="F3" s="212" t="s">
        <v>193</v>
      </c>
      <c r="G3" s="212" t="s">
        <v>194</v>
      </c>
    </row>
    <row r="4" spans="2:9" ht="87" customHeight="1">
      <c r="B4" s="372" t="s">
        <v>204</v>
      </c>
      <c r="C4" s="368" t="s">
        <v>214</v>
      </c>
      <c r="D4" s="368"/>
      <c r="E4" s="245"/>
      <c r="F4" s="245"/>
      <c r="G4" s="244"/>
      <c r="H4" s="246"/>
      <c r="I4" s="365" t="s">
        <v>211</v>
      </c>
    </row>
    <row r="5" spans="2:9">
      <c r="B5" s="373"/>
      <c r="C5" s="369"/>
      <c r="D5" s="369"/>
      <c r="E5" s="240">
        <f>'Estado de Situación Financiera'!H9-'Estado de Situación Financiera'!H18</f>
        <v>29800000</v>
      </c>
      <c r="F5" s="240">
        <f>'Estado de Situación Financiera'!I9-'Estado de Situación Financiera'!I18</f>
        <v>43500000</v>
      </c>
      <c r="G5" s="242">
        <f>'Estado de Situación Financiera'!J9-'Estado de Situación Financiera'!J18</f>
        <v>55000000</v>
      </c>
      <c r="H5" s="247"/>
      <c r="I5" s="366"/>
    </row>
    <row r="6" spans="2:9">
      <c r="B6" s="373"/>
      <c r="C6" s="369"/>
      <c r="D6" s="369"/>
      <c r="E6" s="240"/>
      <c r="F6" s="240"/>
      <c r="G6" s="242"/>
      <c r="H6" s="247"/>
      <c r="I6" s="366"/>
    </row>
    <row r="7" spans="2:9">
      <c r="B7" s="374"/>
      <c r="C7" s="370"/>
      <c r="D7" s="370"/>
      <c r="E7" s="241"/>
      <c r="F7" s="241"/>
      <c r="G7" s="243"/>
      <c r="H7" s="248"/>
      <c r="I7" s="367"/>
    </row>
    <row r="8" spans="2:9" ht="43.5" customHeight="1">
      <c r="B8" s="356" t="s">
        <v>210</v>
      </c>
      <c r="C8" s="359" t="s">
        <v>215</v>
      </c>
      <c r="D8" s="359"/>
      <c r="E8" s="249">
        <f>'Estado de Situación Financiera'!H14/'Estado de Situación Financiera'!H21</f>
        <v>193.71455461092</v>
      </c>
      <c r="F8" s="249">
        <f>'Estado de Situación Financiera'!I14/'Estado de Situación Financiera'!I21</f>
        <v>562.63134488286721</v>
      </c>
      <c r="G8" s="249">
        <f>'Estado de Situación Financiera'!J14/'Estado de Situación Financiera'!J21</f>
        <v>-3.5901483702667064E+16</v>
      </c>
      <c r="H8" s="254"/>
      <c r="I8" s="359" t="s">
        <v>212</v>
      </c>
    </row>
    <row r="9" spans="2:9">
      <c r="B9" s="357"/>
      <c r="C9" s="360"/>
      <c r="D9" s="360"/>
      <c r="E9" s="250"/>
      <c r="F9" s="250"/>
      <c r="G9" s="250"/>
      <c r="H9" s="255"/>
      <c r="I9" s="360"/>
    </row>
    <row r="10" spans="2:9">
      <c r="B10" s="357"/>
      <c r="C10" s="360"/>
      <c r="D10" s="360"/>
      <c r="E10" s="250"/>
      <c r="F10" s="250"/>
      <c r="G10" s="250"/>
      <c r="H10" s="255"/>
      <c r="I10" s="360"/>
    </row>
    <row r="11" spans="2:9">
      <c r="B11" s="358"/>
      <c r="C11" s="361"/>
      <c r="D11" s="361"/>
      <c r="E11" s="251"/>
      <c r="F11" s="251"/>
      <c r="G11" s="251"/>
      <c r="H11" s="256"/>
      <c r="I11" s="361"/>
    </row>
    <row r="12" spans="2:9" ht="14.55" customHeight="1">
      <c r="B12" s="350" t="s">
        <v>205</v>
      </c>
      <c r="C12" s="353" t="s">
        <v>216</v>
      </c>
      <c r="D12" s="353"/>
      <c r="E12" s="252"/>
      <c r="F12" s="252"/>
      <c r="G12" s="252"/>
      <c r="H12" s="258"/>
      <c r="I12" s="362" t="s">
        <v>217</v>
      </c>
    </row>
    <row r="13" spans="2:9" ht="14.55" customHeight="1">
      <c r="B13" s="351"/>
      <c r="C13" s="354"/>
      <c r="D13" s="354"/>
      <c r="E13" s="252"/>
      <c r="F13" s="252"/>
      <c r="G13" s="252"/>
      <c r="H13" s="259"/>
      <c r="I13" s="363"/>
    </row>
    <row r="14" spans="2:9">
      <c r="B14" s="351"/>
      <c r="C14" s="354"/>
      <c r="D14" s="354"/>
      <c r="E14" s="257">
        <f>'Estado de Situación Financiera'!H21/'Estado de Situación Financiera'!H14</f>
        <v>5.1622347221587052E-3</v>
      </c>
      <c r="F14" s="257">
        <f>'Estado de Situación Financiera'!I21/'Estado de Situación Financiera'!I14</f>
        <v>1.7773627599937355E-3</v>
      </c>
      <c r="G14" s="257">
        <f>'Estado de Situación Financiera'!J21/'Estado de Situación Financiera'!J14</f>
        <v>-2.7854002031835568E-17</v>
      </c>
      <c r="H14" s="259"/>
      <c r="I14" s="363"/>
    </row>
    <row r="15" spans="2:9">
      <c r="B15" s="351"/>
      <c r="C15" s="354"/>
      <c r="D15" s="354"/>
      <c r="E15" s="252"/>
      <c r="F15" s="252"/>
      <c r="G15" s="252"/>
      <c r="H15" s="259"/>
      <c r="I15" s="363"/>
    </row>
    <row r="16" spans="2:9">
      <c r="B16" s="351"/>
      <c r="C16" s="354"/>
      <c r="D16" s="354"/>
      <c r="E16" s="252"/>
      <c r="F16" s="252"/>
      <c r="G16" s="252"/>
      <c r="H16" s="259"/>
      <c r="I16" s="363"/>
    </row>
    <row r="17" spans="2:9">
      <c r="B17" s="352"/>
      <c r="C17" s="355"/>
      <c r="D17" s="355"/>
      <c r="E17" s="253"/>
      <c r="F17" s="253"/>
      <c r="G17" s="253"/>
      <c r="H17" s="260"/>
      <c r="I17" s="364"/>
    </row>
    <row r="18" spans="2:9" ht="28.95" customHeight="1">
      <c r="B18" s="344" t="s">
        <v>206</v>
      </c>
      <c r="C18" s="347" t="s">
        <v>218</v>
      </c>
      <c r="D18" s="347"/>
      <c r="E18" s="261">
        <f>'Estado de Resultados'!$F$23/'Estado de Situación Financiera'!$H$14</f>
        <v>0.98142096683882529</v>
      </c>
      <c r="F18" s="261">
        <f>'Estado de Resultados'!$G$23/'Estado de Situación Financiera'!$I$14</f>
        <v>0.98532639126451182</v>
      </c>
      <c r="G18" s="261">
        <f>'Estado de Resultados'!$H$23/'Estado de Situación Financiera'!$J$14</f>
        <v>0.98753833043859884</v>
      </c>
      <c r="H18" s="264"/>
      <c r="I18" s="347" t="s">
        <v>224</v>
      </c>
    </row>
    <row r="19" spans="2:9">
      <c r="B19" s="345"/>
      <c r="C19" s="348"/>
      <c r="D19" s="348"/>
      <c r="E19" s="262"/>
      <c r="F19" s="262"/>
      <c r="G19" s="262"/>
      <c r="H19" s="265"/>
      <c r="I19" s="348"/>
    </row>
    <row r="20" spans="2:9">
      <c r="B20" s="345"/>
      <c r="C20" s="349"/>
      <c r="D20" s="349"/>
      <c r="E20" s="263"/>
      <c r="F20" s="263"/>
      <c r="G20" s="263"/>
      <c r="H20" s="266"/>
      <c r="I20" s="349"/>
    </row>
    <row r="21" spans="2:9">
      <c r="B21" s="345"/>
      <c r="C21" s="347" t="s">
        <v>219</v>
      </c>
      <c r="D21" s="347"/>
      <c r="E21" s="261">
        <f>'Estado de Resultados'!$F$23/'Estado de Situación Financiera'!$H$27</f>
        <v>0.98651358150314183</v>
      </c>
      <c r="F21" s="261">
        <f>'Estado de Resultados'!$G$23/'Estado de Situación Financiera'!$I$27</f>
        <v>0.98708079190514908</v>
      </c>
      <c r="G21" s="261">
        <f>'Estado de Resultados'!$H$23/'Estado de Situación Financiera'!$J$27</f>
        <v>0.98753833043859884</v>
      </c>
      <c r="H21" s="264"/>
      <c r="I21" s="347" t="s">
        <v>225</v>
      </c>
    </row>
    <row r="22" spans="2:9" ht="24.45" customHeight="1">
      <c r="B22" s="345"/>
      <c r="C22" s="348"/>
      <c r="D22" s="348"/>
      <c r="E22" s="262"/>
      <c r="F22" s="262"/>
      <c r="G22" s="262"/>
      <c r="H22" s="265"/>
      <c r="I22" s="348"/>
    </row>
    <row r="23" spans="2:9" ht="24.45" customHeight="1">
      <c r="B23" s="345"/>
      <c r="C23" s="349"/>
      <c r="D23" s="349"/>
      <c r="E23" s="263"/>
      <c r="F23" s="263"/>
      <c r="G23" s="263"/>
      <c r="H23" s="266"/>
      <c r="I23" s="349"/>
    </row>
    <row r="24" spans="2:9" ht="28.95" customHeight="1">
      <c r="B24" s="345"/>
      <c r="C24" s="347" t="s">
        <v>220</v>
      </c>
      <c r="D24" s="267">
        <f>'Estado de Resultados'!$F$23/'Inversión Inicial'!$C$33</f>
        <v>63.607539478260868</v>
      </c>
      <c r="E24" s="267">
        <f>'Estado de Resultados'!$F$23/'Inversión Inicial'!$D$33</f>
        <v>25.576458181818182</v>
      </c>
      <c r="F24" s="267">
        <f>'Estado de Resultados'!$G$23/'Inversión Inicial'!$E$33</f>
        <v>18.559706510170155</v>
      </c>
      <c r="G24" s="267">
        <f>'Estado de Resultados'!$H$23/'Inversión Inicial'!$F$33</f>
        <v>13.585040462187511</v>
      </c>
      <c r="H24" s="264"/>
      <c r="I24" s="347" t="s">
        <v>226</v>
      </c>
    </row>
    <row r="25" spans="2:9" ht="27.45" customHeight="1">
      <c r="B25" s="346"/>
      <c r="C25" s="349"/>
      <c r="D25" s="268"/>
      <c r="E25" s="268"/>
      <c r="F25" s="268"/>
      <c r="G25" s="268"/>
      <c r="H25" s="266"/>
      <c r="I25" s="349"/>
    </row>
    <row r="26" spans="2:9" s="211" customFormat="1"/>
    <row r="27" spans="2:9" s="211" customFormat="1"/>
    <row r="28" spans="2:9" s="211" customFormat="1"/>
    <row r="29" spans="2:9" s="211" customFormat="1" ht="34.950000000000003" customHeight="1" thickBot="1">
      <c r="B29" s="276" t="s">
        <v>312</v>
      </c>
      <c r="C29" s="277"/>
      <c r="D29" s="277"/>
      <c r="E29" s="277"/>
      <c r="F29" s="340"/>
      <c r="G29" s="340"/>
      <c r="H29" s="1"/>
      <c r="I29" s="1"/>
    </row>
    <row r="30" spans="2:9" s="211" customFormat="1" ht="66" customHeight="1" thickBot="1">
      <c r="B30" s="341" t="s">
        <v>313</v>
      </c>
      <c r="C30" s="342"/>
      <c r="D30" s="342"/>
      <c r="E30" s="342"/>
      <c r="F30" s="342"/>
      <c r="G30" s="342"/>
      <c r="H30" s="342"/>
      <c r="I30" s="343"/>
    </row>
    <row r="31" spans="2:9" s="211" customFormat="1" ht="94.05" customHeight="1" thickBot="1">
      <c r="B31" s="334"/>
      <c r="C31" s="335"/>
      <c r="D31" s="335"/>
      <c r="E31" s="335"/>
      <c r="F31" s="335"/>
      <c r="G31" s="335"/>
      <c r="H31" s="335"/>
      <c r="I31" s="336"/>
    </row>
    <row r="32" spans="2:9" s="211" customFormat="1"/>
    <row r="33" s="211" customFormat="1"/>
    <row r="34" s="211" customFormat="1"/>
    <row r="35" s="211" customFormat="1"/>
    <row r="36" s="211" customFormat="1"/>
    <row r="37" s="211" customFormat="1"/>
    <row r="38" s="211" customFormat="1"/>
    <row r="39" s="211" customFormat="1"/>
    <row r="40" s="211" customFormat="1"/>
    <row r="41" s="211" customFormat="1"/>
    <row r="42" s="211" customFormat="1"/>
    <row r="43" s="211" customFormat="1"/>
    <row r="44" s="211" customFormat="1"/>
    <row r="45" s="211" customFormat="1"/>
    <row r="46" s="211" customFormat="1"/>
    <row r="47" s="211" customFormat="1"/>
    <row r="48" s="211" customFormat="1"/>
    <row r="49" s="211" customFormat="1"/>
    <row r="50" s="211" customFormat="1"/>
    <row r="51" s="211" customFormat="1"/>
    <row r="52" s="211" customFormat="1"/>
    <row r="53" s="211" customFormat="1"/>
    <row r="54" s="211" customFormat="1"/>
    <row r="55" s="211" customFormat="1"/>
    <row r="56" s="211" customFormat="1"/>
    <row r="57" s="211" customFormat="1"/>
    <row r="58" s="211" customFormat="1"/>
    <row r="59" s="211" customFormat="1"/>
    <row r="60" s="211" customFormat="1"/>
    <row r="61" s="211" customFormat="1"/>
    <row r="62" s="211" customFormat="1"/>
    <row r="63" s="211" customFormat="1"/>
    <row r="64" s="211" customFormat="1"/>
    <row r="65" s="211" customFormat="1"/>
    <row r="66" s="211" customFormat="1"/>
    <row r="67" s="211" customFormat="1"/>
    <row r="68" s="211" customFormat="1"/>
    <row r="69" s="211" customFormat="1"/>
    <row r="70" s="211" customFormat="1"/>
    <row r="71" s="211" customFormat="1"/>
    <row r="72" s="211" customFormat="1"/>
    <row r="73" s="211" customFormat="1"/>
    <row r="74" s="211" customFormat="1"/>
    <row r="75" s="211" customFormat="1"/>
    <row r="76" s="211" customFormat="1"/>
    <row r="77" s="211" customFormat="1"/>
    <row r="78" s="211" customFormat="1"/>
    <row r="79" s="211" customFormat="1"/>
    <row r="80" s="211" customFormat="1"/>
    <row r="81" s="211" customFormat="1"/>
    <row r="82" s="211" customFormat="1"/>
    <row r="83" s="211" customFormat="1"/>
    <row r="84" s="211" customFormat="1"/>
    <row r="85" s="211" customFormat="1"/>
    <row r="86" s="211" customFormat="1"/>
    <row r="87" s="211" customFormat="1"/>
    <row r="88" s="211" customFormat="1"/>
    <row r="89" s="211" customFormat="1"/>
    <row r="90" s="211" customFormat="1"/>
    <row r="91" s="211" customFormat="1"/>
    <row r="92" s="211" customFormat="1"/>
    <row r="93" s="211" customFormat="1"/>
    <row r="94" s="211" customFormat="1"/>
    <row r="95" s="211" customFormat="1"/>
    <row r="96" s="211" customFormat="1"/>
    <row r="97" s="211" customFormat="1"/>
    <row r="98" s="211" customFormat="1"/>
    <row r="99" s="211" customFormat="1"/>
    <row r="100" s="211" customFormat="1"/>
    <row r="101" s="211" customFormat="1"/>
    <row r="102" s="211" customFormat="1"/>
    <row r="103" s="211" customFormat="1"/>
    <row r="104" s="211" customFormat="1"/>
    <row r="105" s="211" customFormat="1"/>
    <row r="106" s="211" customFormat="1"/>
    <row r="107" s="211" customFormat="1"/>
    <row r="108" s="211" customFormat="1"/>
    <row r="109" s="211" customFormat="1"/>
    <row r="110" s="211" customFormat="1"/>
    <row r="111" s="211" customFormat="1"/>
    <row r="112" s="211" customFormat="1"/>
    <row r="113" s="211" customFormat="1"/>
    <row r="114" s="211" customFormat="1"/>
    <row r="115" s="211" customFormat="1"/>
    <row r="116" s="211" customFormat="1"/>
    <row r="117" s="211" customFormat="1"/>
    <row r="118" s="211" customFormat="1"/>
    <row r="119" s="211" customFormat="1"/>
    <row r="120" s="211" customFormat="1"/>
    <row r="121" s="211" customFormat="1"/>
    <row r="122" s="211" customFormat="1"/>
    <row r="123" s="211" customFormat="1"/>
    <row r="124" s="211" customFormat="1"/>
    <row r="125" s="211" customFormat="1"/>
    <row r="126" s="211" customFormat="1"/>
    <row r="127" s="211" customFormat="1"/>
    <row r="128" s="211" customFormat="1"/>
    <row r="129" s="211" customFormat="1"/>
    <row r="130" s="211" customFormat="1"/>
    <row r="131" s="211" customFormat="1"/>
    <row r="132" s="211" customFormat="1"/>
    <row r="133" s="211" customFormat="1"/>
    <row r="134" s="211" customFormat="1"/>
    <row r="135" s="211" customFormat="1"/>
    <row r="136" s="211" customFormat="1"/>
    <row r="137" s="211" customFormat="1"/>
    <row r="138" s="211" customFormat="1"/>
    <row r="139" s="211" customFormat="1"/>
    <row r="140" s="211" customFormat="1"/>
    <row r="141" s="211" customFormat="1"/>
    <row r="142" s="211" customFormat="1"/>
    <row r="143" s="211" customFormat="1"/>
    <row r="144" s="211" customFormat="1"/>
  </sheetData>
  <mergeCells count="25">
    <mergeCell ref="I4:I7"/>
    <mergeCell ref="D4:D7"/>
    <mergeCell ref="D8:D11"/>
    <mergeCell ref="E2:G2"/>
    <mergeCell ref="B4:B7"/>
    <mergeCell ref="C4:C7"/>
    <mergeCell ref="I8:I11"/>
    <mergeCell ref="B12:B17"/>
    <mergeCell ref="C12:C17"/>
    <mergeCell ref="B8:B11"/>
    <mergeCell ref="C8:C11"/>
    <mergeCell ref="I12:I17"/>
    <mergeCell ref="D12:D17"/>
    <mergeCell ref="F29:G29"/>
    <mergeCell ref="B30:I30"/>
    <mergeCell ref="B31:I31"/>
    <mergeCell ref="B18:B25"/>
    <mergeCell ref="C18:C20"/>
    <mergeCell ref="C21:C23"/>
    <mergeCell ref="C24:C25"/>
    <mergeCell ref="I18:I20"/>
    <mergeCell ref="I21:I23"/>
    <mergeCell ref="I24:I25"/>
    <mergeCell ref="D18:D20"/>
    <mergeCell ref="D21:D23"/>
  </mergeCells>
  <pageMargins left="0.7" right="0.7" top="0.75" bottom="0.75" header="0.3" footer="0.3"/>
  <ignoredErrors>
    <ignoredError sqref="E8:G8 E18:G18 E21:G21 D24:F24 G24:G25" evalError="1"/>
  </ignoredErrors>
  <extLst>
    <ext xmlns:x14="http://schemas.microsoft.com/office/spreadsheetml/2009/9/main" uri="{05C60535-1F16-4fd2-B633-F4F36F0B64E0}">
      <x14:sparklineGroups xmlns:xm="http://schemas.microsoft.com/office/excel/2006/main">
        <x14:sparklineGroup type="column" displayEmptyCellsAs="gap" xr2:uid="{03D726D5-AF2E-499D-B170-5BCAC546216B}">
          <x14:colorSeries rgb="FF376092"/>
          <x14:colorNegative rgb="FFD00000"/>
          <x14:colorAxis rgb="FF000000"/>
          <x14:colorMarkers rgb="FFD00000"/>
          <x14:colorFirst rgb="FFD00000"/>
          <x14:colorLast rgb="FFD00000"/>
          <x14:colorHigh rgb="FFD00000"/>
          <x14:colorLow rgb="FFD00000"/>
          <x14:sparklines>
            <x14:sparkline>
              <xm:f>'Indicadores  '!E8:G8</xm:f>
              <xm:sqref>H8</xm:sqref>
            </x14:sparkline>
          </x14:sparklines>
        </x14:sparklineGroup>
        <x14:sparklineGroup type="column" displayEmptyCellsAs="gap" negative="1" xr2:uid="{636557AD-3972-411C-BB7C-A80FCEBA72B0}">
          <x14:colorSeries theme="5" tint="-0.249977111117893"/>
          <x14:colorNegative rgb="FFD00000"/>
          <x14:colorAxis rgb="FF000000"/>
          <x14:colorMarkers rgb="FFD00000"/>
          <x14:colorFirst rgb="FFD00000"/>
          <x14:colorLast rgb="FFD00000"/>
          <x14:colorHigh rgb="FFD00000"/>
          <x14:colorLow rgb="FFD00000"/>
          <x14:sparklines>
            <x14:sparkline>
              <xm:f>'Indicadores  '!E4:G4</xm:f>
              <xm:sqref>H4</xm:sqref>
            </x14:sparkline>
            <x14:sparkline>
              <xm:f>'Indicadores  '!E5:G5</xm:f>
              <xm:sqref>H5</xm:sqref>
            </x14:sparkline>
            <x14:sparkline>
              <xm:f>'Indicadores  '!E6:G6</xm:f>
              <xm:sqref>H6</xm:sqref>
            </x14:sparkline>
            <x14:sparkline>
              <xm:f>'Indicadores  '!E7:G7</xm:f>
              <xm:sqref>H7</xm:sqref>
            </x14:sparkline>
          </x14:sparklines>
        </x14:sparklineGroup>
        <x14:sparklineGroup type="column" displayEmptyCellsAs="gap" xr2:uid="{D7C9847A-A63D-4B50-9AA2-A35292610ABE}">
          <x14:colorSeries rgb="FF00B0F0"/>
          <x14:colorNegative rgb="FFD00000"/>
          <x14:colorAxis rgb="FF000000"/>
          <x14:colorMarkers rgb="FFD00000"/>
          <x14:colorFirst rgb="FFD00000"/>
          <x14:colorLast rgb="FFD00000"/>
          <x14:colorHigh rgb="FFD00000"/>
          <x14:colorLow rgb="FFD00000"/>
          <x14:sparklines>
            <x14:sparkline>
              <xm:f>'Indicadores  '!E9:G9</xm:f>
              <xm:sqref>H9</xm:sqref>
            </x14:sparkline>
            <x14:sparkline>
              <xm:f>'Indicadores  '!E10:G10</xm:f>
              <xm:sqref>H10</xm:sqref>
            </x14:sparkline>
            <x14:sparkline>
              <xm:f>'Indicadores  '!E11:G11</xm:f>
              <xm:sqref>H11</xm:sqref>
            </x14:sparkline>
          </x14:sparklines>
        </x14:sparklineGroup>
        <x14:sparklineGroup type="column" displayEmptyCellsAs="gap" xr2:uid="{FAC828A2-C1A6-49CB-9DCF-6479903C61A4}">
          <x14:colorSeries theme="6" tint="-0.249977111117893"/>
          <x14:colorNegative rgb="FFD00000"/>
          <x14:colorAxis rgb="FF000000"/>
          <x14:colorMarkers rgb="FFD00000"/>
          <x14:colorFirst rgb="FFD00000"/>
          <x14:colorLast rgb="FFD00000"/>
          <x14:colorHigh rgb="FFD00000"/>
          <x14:colorLow rgb="FFD00000"/>
          <x14:sparklines>
            <x14:sparkline>
              <xm:f>'Indicadores  '!E12:G12</xm:f>
              <xm:sqref>H12</xm:sqref>
            </x14:sparkline>
            <x14:sparkline>
              <xm:f>'Indicadores  '!E13:G13</xm:f>
              <xm:sqref>H13</xm:sqref>
            </x14:sparkline>
            <x14:sparkline>
              <xm:f>'Indicadores  '!E14:G14</xm:f>
              <xm:sqref>H14</xm:sqref>
            </x14:sparkline>
            <x14:sparkline>
              <xm:f>'Indicadores  '!E15:G15</xm:f>
              <xm:sqref>H15</xm:sqref>
            </x14:sparkline>
            <x14:sparkline>
              <xm:f>'Indicadores  '!E16:G16</xm:f>
              <xm:sqref>H16</xm:sqref>
            </x14:sparkline>
            <x14:sparkline>
              <xm:f>'Indicadores  '!E17:G17</xm:f>
              <xm:sqref>H17</xm:sqref>
            </x14:sparkline>
          </x14:sparklines>
        </x14:sparklineGroup>
        <x14:sparklineGroup type="column" displayEmptyCellsAs="gap" xr2:uid="{7DC5263F-D913-4E93-9E3E-954D4A105F9C}">
          <x14:colorSeries theme="7" tint="-0.249977111117893"/>
          <x14:colorNegative rgb="FFD00000"/>
          <x14:colorAxis rgb="FF000000"/>
          <x14:colorMarkers rgb="FFD00000"/>
          <x14:colorFirst rgb="FFD00000"/>
          <x14:colorLast rgb="FFD00000"/>
          <x14:colorHigh rgb="FFD00000"/>
          <x14:colorLow rgb="FFD00000"/>
          <x14:sparklines>
            <x14:sparkline>
              <xm:f>'Indicadores  '!E18:G18</xm:f>
              <xm:sqref>H18</xm:sqref>
            </x14:sparkline>
            <x14:sparkline>
              <xm:f>'Indicadores  '!E19:G19</xm:f>
              <xm:sqref>H19</xm:sqref>
            </x14:sparkline>
            <x14:sparkline>
              <xm:f>'Indicadores  '!E20:G20</xm:f>
              <xm:sqref>H20</xm:sqref>
            </x14:sparkline>
          </x14:sparklines>
        </x14:sparklineGroup>
        <x14:sparklineGroup type="column" displayEmptyCellsAs="gap" xr2:uid="{90D4B220-5DA9-45AA-BD3A-7B6025684D99}">
          <x14:colorSeries rgb="FF002060"/>
          <x14:colorNegative rgb="FFD00000"/>
          <x14:colorAxis rgb="FF000000"/>
          <x14:colorMarkers rgb="FFD00000"/>
          <x14:colorFirst rgb="FFD00000"/>
          <x14:colorLast rgb="FFD00000"/>
          <x14:colorHigh rgb="FFD00000"/>
          <x14:colorLow rgb="FFD00000"/>
          <x14:sparklines>
            <x14:sparkline>
              <xm:f>'Indicadores  '!E21:G21</xm:f>
              <xm:sqref>H21</xm:sqref>
            </x14:sparkline>
            <x14:sparkline>
              <xm:f>'Indicadores  '!E22:G22</xm:f>
              <xm:sqref>H22</xm:sqref>
            </x14:sparkline>
            <x14:sparkline>
              <xm:f>'Indicadores  '!E23:G23</xm:f>
              <xm:sqref>H23</xm:sqref>
            </x14:sparkline>
          </x14:sparklines>
        </x14:sparklineGroup>
        <x14:sparklineGroup type="column" displayEmptyCellsAs="gap" xr2:uid="{9398919C-BDC1-42F0-9190-97BE5B791BFA}">
          <x14:colorSeries theme="9" tint="0.39997558519241921"/>
          <x14:colorNegative rgb="FFD00000"/>
          <x14:colorAxis rgb="FF000000"/>
          <x14:colorMarkers rgb="FFD00000"/>
          <x14:colorFirst rgb="FFD00000"/>
          <x14:colorLast rgb="FFD00000"/>
          <x14:colorHigh rgb="FFD00000"/>
          <x14:colorLow rgb="FFD00000"/>
          <x14:sparklines>
            <x14:sparkline>
              <xm:f>'Indicadores  '!D24:G24</xm:f>
              <xm:sqref>H24</xm:sqref>
            </x14:sparkline>
            <x14:sparkline>
              <xm:f>'Indicadores  '!D25:G25</xm:f>
              <xm:sqref>H25</xm:sqref>
            </x14:sparkline>
          </x14:sparklines>
        </x14:sparklineGroup>
      </x14:sparklineGroup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BA11D-D224-43AA-B1E1-2770401F8925}">
  <sheetPr codeName="Hoja11">
    <tabColor rgb="FF00B0F0"/>
  </sheetPr>
  <dimension ref="A1:AP171"/>
  <sheetViews>
    <sheetView topLeftCell="E2" zoomScale="85" zoomScaleNormal="85" workbookViewId="0">
      <selection activeCell="X39" sqref="X39"/>
    </sheetView>
  </sheetViews>
  <sheetFormatPr baseColWidth="10" defaultRowHeight="14.4"/>
  <cols>
    <col min="1" max="2" width="10.77734375" style="224"/>
    <col min="3" max="3" width="27.77734375" customWidth="1"/>
    <col min="6" max="6" width="20.33203125" bestFit="1" customWidth="1"/>
    <col min="18" max="18" width="10.77734375" customWidth="1"/>
    <col min="19" max="42" width="10.77734375" style="224"/>
  </cols>
  <sheetData>
    <row r="1" spans="1:42" s="224" customFormat="1"/>
    <row r="2" spans="1:42" s="211" customFormat="1" ht="25.95" customHeight="1" thickBot="1">
      <c r="A2" s="224"/>
      <c r="B2" s="224"/>
      <c r="C2" s="400" t="s">
        <v>221</v>
      </c>
      <c r="D2" s="401"/>
      <c r="E2" s="401"/>
      <c r="F2" s="401"/>
      <c r="G2" s="401"/>
      <c r="H2" s="401"/>
      <c r="I2" s="401"/>
      <c r="J2" s="401"/>
      <c r="K2" s="401"/>
      <c r="L2" s="401"/>
      <c r="M2" s="401"/>
      <c r="N2" s="401"/>
      <c r="O2" s="401"/>
      <c r="P2" s="401"/>
      <c r="Q2" s="401"/>
      <c r="R2" s="402"/>
      <c r="S2" s="224"/>
      <c r="T2" s="278" t="s">
        <v>312</v>
      </c>
      <c r="U2" s="1"/>
      <c r="V2" s="1"/>
      <c r="W2" s="1"/>
      <c r="X2" s="332"/>
      <c r="Y2" s="332"/>
      <c r="Z2" s="1"/>
      <c r="AA2" s="1"/>
      <c r="AB2" s="224"/>
      <c r="AC2" s="224"/>
      <c r="AD2" s="224"/>
      <c r="AE2" s="224"/>
      <c r="AF2" s="224"/>
      <c r="AG2" s="224"/>
      <c r="AH2" s="224"/>
      <c r="AI2" s="224"/>
      <c r="AJ2" s="224"/>
      <c r="AK2" s="224"/>
      <c r="AL2" s="224"/>
      <c r="AM2" s="224"/>
      <c r="AN2" s="224"/>
      <c r="AO2" s="224"/>
      <c r="AP2" s="224"/>
    </row>
    <row r="3" spans="1:42" s="211" customFormat="1" ht="16.05" customHeight="1">
      <c r="A3" s="224"/>
      <c r="B3" s="224"/>
      <c r="C3" s="216"/>
      <c r="R3" s="217"/>
      <c r="S3" s="224"/>
      <c r="T3" s="384" t="s">
        <v>314</v>
      </c>
      <c r="U3" s="384"/>
      <c r="V3" s="384"/>
      <c r="W3" s="384"/>
      <c r="X3" s="384"/>
      <c r="Y3" s="384"/>
      <c r="Z3" s="384"/>
      <c r="AA3" s="384"/>
      <c r="AB3" s="224"/>
      <c r="AC3" s="224"/>
      <c r="AD3" s="224"/>
      <c r="AE3" s="224"/>
      <c r="AF3" s="224"/>
      <c r="AG3" s="224"/>
      <c r="AH3" s="224"/>
      <c r="AI3" s="224"/>
      <c r="AJ3" s="224"/>
      <c r="AK3" s="224"/>
      <c r="AL3" s="224"/>
      <c r="AM3" s="224"/>
      <c r="AN3" s="224"/>
      <c r="AO3" s="224"/>
      <c r="AP3" s="224"/>
    </row>
    <row r="4" spans="1:42" s="211" customFormat="1" ht="15" thickBot="1">
      <c r="A4" s="224"/>
      <c r="B4" s="224"/>
      <c r="C4" s="216"/>
      <c r="R4" s="217"/>
      <c r="S4" s="224"/>
      <c r="T4" s="385"/>
      <c r="U4" s="385"/>
      <c r="V4" s="385"/>
      <c r="W4" s="385"/>
      <c r="X4" s="385"/>
      <c r="Y4" s="385"/>
      <c r="Z4" s="385"/>
      <c r="AA4" s="385"/>
      <c r="AB4" s="224"/>
      <c r="AC4" s="224"/>
      <c r="AD4" s="224"/>
      <c r="AE4" s="224"/>
      <c r="AF4" s="224"/>
      <c r="AG4" s="224"/>
      <c r="AH4" s="224"/>
      <c r="AI4" s="224"/>
      <c r="AJ4" s="224"/>
      <c r="AK4" s="224"/>
      <c r="AL4" s="224"/>
      <c r="AM4" s="224"/>
      <c r="AN4" s="224"/>
      <c r="AO4" s="224"/>
      <c r="AP4" s="224"/>
    </row>
    <row r="5" spans="1:42" s="211" customFormat="1">
      <c r="A5" s="224"/>
      <c r="B5" s="224"/>
      <c r="C5" s="216"/>
      <c r="R5" s="217"/>
      <c r="S5" s="224"/>
      <c r="T5" s="375"/>
      <c r="U5" s="376"/>
      <c r="V5" s="376"/>
      <c r="W5" s="376"/>
      <c r="X5" s="376"/>
      <c r="Y5" s="376"/>
      <c r="Z5" s="376"/>
      <c r="AA5" s="377"/>
      <c r="AB5" s="224"/>
      <c r="AC5" s="224"/>
      <c r="AD5" s="224"/>
      <c r="AE5" s="224"/>
      <c r="AF5" s="224"/>
      <c r="AG5" s="224"/>
      <c r="AH5" s="224"/>
      <c r="AI5" s="224"/>
      <c r="AJ5" s="224"/>
      <c r="AK5" s="224"/>
      <c r="AL5" s="224"/>
      <c r="AM5" s="224"/>
      <c r="AN5" s="224"/>
      <c r="AO5" s="224"/>
      <c r="AP5" s="224"/>
    </row>
    <row r="6" spans="1:42" s="211" customFormat="1">
      <c r="A6" s="224"/>
      <c r="B6" s="224"/>
      <c r="C6" s="216"/>
      <c r="R6" s="217"/>
      <c r="S6" s="224"/>
      <c r="T6" s="378"/>
      <c r="U6" s="379"/>
      <c r="V6" s="379"/>
      <c r="W6" s="379"/>
      <c r="X6" s="379"/>
      <c r="Y6" s="379"/>
      <c r="Z6" s="379"/>
      <c r="AA6" s="380"/>
      <c r="AB6" s="224"/>
      <c r="AC6" s="224"/>
      <c r="AD6" s="224"/>
      <c r="AE6" s="224"/>
      <c r="AF6" s="224"/>
      <c r="AG6" s="224"/>
      <c r="AH6" s="224"/>
      <c r="AI6" s="224"/>
      <c r="AJ6" s="224"/>
      <c r="AK6" s="224"/>
      <c r="AL6" s="224"/>
      <c r="AM6" s="224"/>
      <c r="AN6" s="224"/>
      <c r="AO6" s="224"/>
      <c r="AP6" s="224"/>
    </row>
    <row r="7" spans="1:42" s="211" customFormat="1">
      <c r="A7" s="224"/>
      <c r="B7" s="224"/>
      <c r="C7" s="216"/>
      <c r="R7" s="217"/>
      <c r="S7" s="224"/>
      <c r="T7" s="378"/>
      <c r="U7" s="379"/>
      <c r="V7" s="379"/>
      <c r="W7" s="379"/>
      <c r="X7" s="379"/>
      <c r="Y7" s="379"/>
      <c r="Z7" s="379"/>
      <c r="AA7" s="380"/>
      <c r="AB7" s="224"/>
      <c r="AC7" s="224"/>
      <c r="AD7" s="224"/>
      <c r="AE7" s="224"/>
      <c r="AF7" s="224"/>
      <c r="AG7" s="224"/>
      <c r="AH7" s="224"/>
      <c r="AI7" s="224"/>
      <c r="AJ7" s="224"/>
      <c r="AK7" s="224"/>
      <c r="AL7" s="224"/>
      <c r="AM7" s="224"/>
      <c r="AN7" s="224"/>
      <c r="AO7" s="224"/>
      <c r="AP7" s="224"/>
    </row>
    <row r="8" spans="1:42" s="211" customFormat="1">
      <c r="A8" s="224"/>
      <c r="B8" s="224"/>
      <c r="C8" s="216"/>
      <c r="R8" s="217"/>
      <c r="S8" s="224"/>
      <c r="T8" s="378"/>
      <c r="U8" s="379"/>
      <c r="V8" s="379"/>
      <c r="W8" s="379"/>
      <c r="X8" s="379"/>
      <c r="Y8" s="379"/>
      <c r="Z8" s="379"/>
      <c r="AA8" s="380"/>
      <c r="AB8" s="224"/>
      <c r="AC8" s="224"/>
      <c r="AD8" s="224"/>
      <c r="AE8" s="224"/>
      <c r="AF8" s="224"/>
      <c r="AG8" s="224"/>
      <c r="AH8" s="224"/>
      <c r="AI8" s="224"/>
      <c r="AJ8" s="224"/>
      <c r="AK8" s="224"/>
      <c r="AL8" s="224"/>
      <c r="AM8" s="224"/>
      <c r="AN8" s="224"/>
      <c r="AO8" s="224"/>
      <c r="AP8" s="224"/>
    </row>
    <row r="9" spans="1:42" s="211" customFormat="1">
      <c r="A9" s="224"/>
      <c r="B9" s="224"/>
      <c r="C9" s="216"/>
      <c r="R9" s="217"/>
      <c r="S9" s="224"/>
      <c r="T9" s="378"/>
      <c r="U9" s="379"/>
      <c r="V9" s="379"/>
      <c r="W9" s="379"/>
      <c r="X9" s="379"/>
      <c r="Y9" s="379"/>
      <c r="Z9" s="379"/>
      <c r="AA9" s="380"/>
      <c r="AB9" s="224"/>
      <c r="AC9" s="224"/>
      <c r="AD9" s="224"/>
      <c r="AE9" s="224"/>
      <c r="AF9" s="224"/>
      <c r="AG9" s="224"/>
      <c r="AH9" s="224"/>
      <c r="AI9" s="224"/>
      <c r="AJ9" s="224"/>
      <c r="AK9" s="224"/>
      <c r="AL9" s="224"/>
      <c r="AM9" s="224"/>
      <c r="AN9" s="224"/>
      <c r="AO9" s="224"/>
      <c r="AP9" s="224"/>
    </row>
    <row r="10" spans="1:42" s="211" customFormat="1">
      <c r="A10" s="224"/>
      <c r="B10" s="224"/>
      <c r="C10" s="216"/>
      <c r="R10" s="217"/>
      <c r="S10" s="224"/>
      <c r="T10" s="378"/>
      <c r="U10" s="379"/>
      <c r="V10" s="379"/>
      <c r="W10" s="379"/>
      <c r="X10" s="379"/>
      <c r="Y10" s="379"/>
      <c r="Z10" s="379"/>
      <c r="AA10" s="380"/>
      <c r="AB10" s="224"/>
      <c r="AC10" s="224"/>
      <c r="AD10" s="224"/>
      <c r="AE10" s="224"/>
      <c r="AF10" s="224"/>
      <c r="AG10" s="224"/>
      <c r="AH10" s="224"/>
      <c r="AI10" s="224"/>
      <c r="AJ10" s="224"/>
      <c r="AK10" s="224"/>
      <c r="AL10" s="224"/>
      <c r="AM10" s="224"/>
      <c r="AN10" s="224"/>
      <c r="AO10" s="224"/>
      <c r="AP10" s="224"/>
    </row>
    <row r="11" spans="1:42" s="211" customFormat="1">
      <c r="A11" s="224"/>
      <c r="B11" s="224"/>
      <c r="C11" s="216"/>
      <c r="R11" s="217"/>
      <c r="S11" s="224"/>
      <c r="T11" s="378"/>
      <c r="U11" s="379"/>
      <c r="V11" s="379"/>
      <c r="W11" s="379"/>
      <c r="X11" s="379"/>
      <c r="Y11" s="379"/>
      <c r="Z11" s="379"/>
      <c r="AA11" s="380"/>
      <c r="AB11" s="224"/>
      <c r="AC11" s="224"/>
      <c r="AD11" s="224"/>
      <c r="AE11" s="224"/>
      <c r="AF11" s="224"/>
      <c r="AG11" s="224"/>
      <c r="AH11" s="224"/>
      <c r="AI11" s="224"/>
      <c r="AJ11" s="224"/>
      <c r="AK11" s="224"/>
      <c r="AL11" s="224"/>
      <c r="AM11" s="224"/>
      <c r="AN11" s="224"/>
      <c r="AO11" s="224"/>
      <c r="AP11" s="224"/>
    </row>
    <row r="12" spans="1:42" s="211" customFormat="1">
      <c r="A12" s="224"/>
      <c r="B12" s="224"/>
      <c r="C12" s="216"/>
      <c r="R12" s="217"/>
      <c r="S12" s="224"/>
      <c r="T12" s="378"/>
      <c r="U12" s="379"/>
      <c r="V12" s="379"/>
      <c r="W12" s="379"/>
      <c r="X12" s="379"/>
      <c r="Y12" s="379"/>
      <c r="Z12" s="379"/>
      <c r="AA12" s="380"/>
      <c r="AB12" s="224"/>
      <c r="AC12" s="224"/>
      <c r="AD12" s="224"/>
      <c r="AE12" s="224"/>
      <c r="AF12" s="224"/>
      <c r="AG12" s="224"/>
      <c r="AH12" s="224"/>
      <c r="AI12" s="224"/>
      <c r="AJ12" s="224"/>
      <c r="AK12" s="224"/>
      <c r="AL12" s="224"/>
      <c r="AM12" s="224"/>
      <c r="AN12" s="224"/>
      <c r="AO12" s="224"/>
      <c r="AP12" s="224"/>
    </row>
    <row r="13" spans="1:42" s="211" customFormat="1">
      <c r="A13" s="224"/>
      <c r="B13" s="224"/>
      <c r="C13" s="216"/>
      <c r="R13" s="217"/>
      <c r="S13" s="224"/>
      <c r="T13" s="378"/>
      <c r="U13" s="379"/>
      <c r="V13" s="379"/>
      <c r="W13" s="379"/>
      <c r="X13" s="379"/>
      <c r="Y13" s="379"/>
      <c r="Z13" s="379"/>
      <c r="AA13" s="380"/>
      <c r="AB13" s="224"/>
      <c r="AC13" s="224"/>
      <c r="AD13" s="224"/>
      <c r="AE13" s="224"/>
      <c r="AF13" s="224"/>
      <c r="AG13" s="224"/>
      <c r="AH13" s="224"/>
      <c r="AI13" s="224"/>
      <c r="AJ13" s="224"/>
      <c r="AK13" s="224"/>
      <c r="AL13" s="224"/>
      <c r="AM13" s="224"/>
      <c r="AN13" s="224"/>
      <c r="AO13" s="224"/>
      <c r="AP13" s="224"/>
    </row>
    <row r="14" spans="1:42" s="211" customFormat="1">
      <c r="A14" s="224"/>
      <c r="B14" s="224"/>
      <c r="C14" s="216"/>
      <c r="R14" s="217"/>
      <c r="S14" s="224"/>
      <c r="T14" s="378"/>
      <c r="U14" s="379"/>
      <c r="V14" s="379"/>
      <c r="W14" s="379"/>
      <c r="X14" s="379"/>
      <c r="Y14" s="379"/>
      <c r="Z14" s="379"/>
      <c r="AA14" s="380"/>
      <c r="AB14" s="224"/>
      <c r="AC14" s="224"/>
      <c r="AD14" s="224"/>
      <c r="AE14" s="224"/>
      <c r="AF14" s="224"/>
      <c r="AG14" s="224"/>
      <c r="AH14" s="224"/>
      <c r="AI14" s="224"/>
      <c r="AJ14" s="224"/>
      <c r="AK14" s="224"/>
      <c r="AL14" s="224"/>
      <c r="AM14" s="224"/>
      <c r="AN14" s="224"/>
      <c r="AO14" s="224"/>
      <c r="AP14" s="224"/>
    </row>
    <row r="15" spans="1:42" s="211" customFormat="1">
      <c r="A15" s="224"/>
      <c r="B15" s="224"/>
      <c r="C15" s="216"/>
      <c r="R15" s="217"/>
      <c r="S15" s="224"/>
      <c r="T15" s="378"/>
      <c r="U15" s="379"/>
      <c r="V15" s="379"/>
      <c r="W15" s="379"/>
      <c r="X15" s="379"/>
      <c r="Y15" s="379"/>
      <c r="Z15" s="379"/>
      <c r="AA15" s="380"/>
      <c r="AB15" s="224"/>
      <c r="AC15" s="224"/>
      <c r="AD15" s="224"/>
      <c r="AE15" s="224"/>
      <c r="AF15" s="224"/>
      <c r="AG15" s="224"/>
      <c r="AH15" s="224"/>
      <c r="AI15" s="224"/>
      <c r="AJ15" s="224"/>
      <c r="AK15" s="224"/>
      <c r="AL15" s="224"/>
      <c r="AM15" s="224"/>
      <c r="AN15" s="224"/>
      <c r="AO15" s="224"/>
      <c r="AP15" s="224"/>
    </row>
    <row r="16" spans="1:42" s="211" customFormat="1">
      <c r="A16" s="224"/>
      <c r="B16" s="224"/>
      <c r="C16" s="216"/>
      <c r="R16" s="217"/>
      <c r="S16" s="224"/>
      <c r="T16" s="378"/>
      <c r="U16" s="379"/>
      <c r="V16" s="379"/>
      <c r="W16" s="379"/>
      <c r="X16" s="379"/>
      <c r="Y16" s="379"/>
      <c r="Z16" s="379"/>
      <c r="AA16" s="380"/>
      <c r="AB16" s="224"/>
      <c r="AC16" s="224"/>
      <c r="AD16" s="224"/>
      <c r="AE16" s="224"/>
      <c r="AF16" s="224"/>
      <c r="AG16" s="224"/>
      <c r="AH16" s="224"/>
      <c r="AI16" s="224"/>
      <c r="AJ16" s="224"/>
      <c r="AK16" s="224"/>
      <c r="AL16" s="224"/>
      <c r="AM16" s="224"/>
      <c r="AN16" s="224"/>
      <c r="AO16" s="224"/>
      <c r="AP16" s="224"/>
    </row>
    <row r="17" spans="1:42" s="211" customFormat="1">
      <c r="A17" s="224"/>
      <c r="B17" s="224"/>
      <c r="C17" s="216"/>
      <c r="R17" s="217"/>
      <c r="S17" s="224"/>
      <c r="T17" s="378"/>
      <c r="U17" s="379"/>
      <c r="V17" s="379"/>
      <c r="W17" s="379"/>
      <c r="X17" s="379"/>
      <c r="Y17" s="379"/>
      <c r="Z17" s="379"/>
      <c r="AA17" s="380"/>
      <c r="AB17" s="224"/>
      <c r="AC17" s="224"/>
      <c r="AD17" s="224"/>
      <c r="AE17" s="224"/>
      <c r="AF17" s="224"/>
      <c r="AG17" s="224"/>
      <c r="AH17" s="224"/>
      <c r="AI17" s="224"/>
      <c r="AJ17" s="224"/>
      <c r="AK17" s="224"/>
      <c r="AL17" s="224"/>
      <c r="AM17" s="224"/>
      <c r="AN17" s="224"/>
      <c r="AO17" s="224"/>
      <c r="AP17" s="224"/>
    </row>
    <row r="18" spans="1:42" s="211" customFormat="1">
      <c r="A18" s="224"/>
      <c r="B18" s="224"/>
      <c r="C18" s="216"/>
      <c r="R18" s="217"/>
      <c r="S18" s="224"/>
      <c r="T18" s="378"/>
      <c r="U18" s="379"/>
      <c r="V18" s="379"/>
      <c r="W18" s="379"/>
      <c r="X18" s="379"/>
      <c r="Y18" s="379"/>
      <c r="Z18" s="379"/>
      <c r="AA18" s="380"/>
      <c r="AB18" s="224"/>
      <c r="AC18" s="224"/>
      <c r="AD18" s="224"/>
      <c r="AE18" s="224"/>
      <c r="AF18" s="224"/>
      <c r="AG18" s="224"/>
      <c r="AH18" s="224"/>
      <c r="AI18" s="224"/>
      <c r="AJ18" s="224"/>
      <c r="AK18" s="224"/>
      <c r="AL18" s="224"/>
      <c r="AM18" s="224"/>
      <c r="AN18" s="224"/>
      <c r="AO18" s="224"/>
      <c r="AP18" s="224"/>
    </row>
    <row r="19" spans="1:42" s="211" customFormat="1">
      <c r="A19" s="224"/>
      <c r="B19" s="224"/>
      <c r="C19" s="216"/>
      <c r="R19" s="217"/>
      <c r="S19" s="224"/>
      <c r="T19" s="378"/>
      <c r="U19" s="379"/>
      <c r="V19" s="379"/>
      <c r="W19" s="379"/>
      <c r="X19" s="379"/>
      <c r="Y19" s="379"/>
      <c r="Z19" s="379"/>
      <c r="AA19" s="380"/>
      <c r="AB19" s="224"/>
      <c r="AC19" s="224"/>
      <c r="AD19" s="224"/>
      <c r="AE19" s="224"/>
      <c r="AF19" s="224"/>
      <c r="AG19" s="224"/>
      <c r="AH19" s="224"/>
      <c r="AI19" s="224"/>
      <c r="AJ19" s="224"/>
      <c r="AK19" s="224"/>
      <c r="AL19" s="224"/>
      <c r="AM19" s="224"/>
      <c r="AN19" s="224"/>
      <c r="AO19" s="224"/>
      <c r="AP19" s="224"/>
    </row>
    <row r="20" spans="1:42" s="211" customFormat="1" ht="15" thickBot="1">
      <c r="A20" s="224"/>
      <c r="B20" s="224"/>
      <c r="C20" s="216"/>
      <c r="R20" s="217"/>
      <c r="S20" s="224"/>
      <c r="T20" s="381"/>
      <c r="U20" s="382"/>
      <c r="V20" s="382"/>
      <c r="W20" s="382"/>
      <c r="X20" s="382"/>
      <c r="Y20" s="382"/>
      <c r="Z20" s="382"/>
      <c r="AA20" s="383"/>
      <c r="AB20" s="224"/>
      <c r="AC20" s="224"/>
      <c r="AD20" s="224"/>
      <c r="AE20" s="224"/>
      <c r="AF20" s="224"/>
      <c r="AG20" s="224"/>
      <c r="AH20" s="224"/>
      <c r="AI20" s="224"/>
      <c r="AJ20" s="224"/>
      <c r="AK20" s="224"/>
      <c r="AL20" s="224"/>
      <c r="AM20" s="224"/>
      <c r="AN20" s="224"/>
      <c r="AO20" s="224"/>
      <c r="AP20" s="224"/>
    </row>
    <row r="21" spans="1:42" s="211" customFormat="1">
      <c r="A21" s="224"/>
      <c r="B21" s="224"/>
      <c r="C21" s="403" t="s">
        <v>222</v>
      </c>
      <c r="D21" s="404"/>
      <c r="E21" s="404"/>
      <c r="F21" s="404"/>
      <c r="G21" s="404"/>
      <c r="H21" s="404"/>
      <c r="I21" s="404"/>
      <c r="J21" s="404"/>
      <c r="K21" s="404"/>
      <c r="L21" s="404"/>
      <c r="M21" s="404"/>
      <c r="N21" s="404"/>
      <c r="O21" s="404"/>
      <c r="P21" s="404"/>
      <c r="Q21" s="404"/>
      <c r="R21" s="405"/>
      <c r="S21" s="224"/>
      <c r="T21" s="224"/>
      <c r="U21" s="224"/>
      <c r="V21" s="224"/>
      <c r="W21" s="224"/>
      <c r="X21" s="224"/>
      <c r="Y21" s="224"/>
      <c r="Z21" s="224"/>
      <c r="AA21" s="224"/>
      <c r="AB21" s="224"/>
      <c r="AC21" s="224"/>
      <c r="AD21" s="224"/>
      <c r="AE21" s="224"/>
      <c r="AF21" s="224"/>
      <c r="AG21" s="224"/>
      <c r="AH21" s="224"/>
      <c r="AI21" s="224"/>
      <c r="AJ21" s="224"/>
      <c r="AK21" s="224"/>
      <c r="AL21" s="224"/>
      <c r="AM21" s="224"/>
      <c r="AN21" s="224"/>
      <c r="AO21" s="224"/>
      <c r="AP21" s="224"/>
    </row>
    <row r="22" spans="1:42" s="211" customFormat="1">
      <c r="A22" s="224"/>
      <c r="B22" s="224"/>
      <c r="C22" s="216"/>
      <c r="R22" s="217"/>
      <c r="S22" s="224"/>
      <c r="T22" s="224"/>
      <c r="U22" s="224"/>
      <c r="V22" s="224"/>
      <c r="W22" s="224"/>
      <c r="X22" s="224"/>
      <c r="Y22" s="224"/>
      <c r="Z22" s="224"/>
      <c r="AA22" s="224"/>
      <c r="AB22" s="224"/>
      <c r="AC22" s="224"/>
      <c r="AD22" s="224"/>
      <c r="AE22" s="224"/>
      <c r="AF22" s="224"/>
      <c r="AG22" s="224"/>
      <c r="AH22" s="224"/>
      <c r="AI22" s="224"/>
      <c r="AJ22" s="224"/>
      <c r="AK22" s="224"/>
      <c r="AL22" s="224"/>
      <c r="AM22" s="224"/>
      <c r="AN22" s="224"/>
      <c r="AO22" s="224"/>
      <c r="AP22" s="224"/>
    </row>
    <row r="23" spans="1:42" s="211" customFormat="1">
      <c r="A23" s="224"/>
      <c r="B23" s="224"/>
      <c r="C23" s="216"/>
      <c r="R23" s="217"/>
      <c r="S23" s="224"/>
      <c r="T23" s="224"/>
      <c r="U23" s="224"/>
      <c r="V23" s="224"/>
      <c r="W23" s="224"/>
      <c r="X23" s="224"/>
      <c r="Y23" s="224"/>
      <c r="Z23" s="224"/>
      <c r="AA23" s="224"/>
      <c r="AB23" s="224"/>
      <c r="AC23" s="224"/>
      <c r="AD23" s="224"/>
      <c r="AE23" s="224"/>
      <c r="AF23" s="224"/>
      <c r="AG23" s="224"/>
      <c r="AH23" s="224"/>
      <c r="AI23" s="224"/>
      <c r="AJ23" s="224"/>
      <c r="AK23" s="224"/>
      <c r="AL23" s="224"/>
      <c r="AM23" s="224"/>
      <c r="AN23" s="224"/>
      <c r="AO23" s="224"/>
      <c r="AP23" s="224"/>
    </row>
    <row r="24" spans="1:42" s="211" customFormat="1">
      <c r="A24" s="224"/>
      <c r="B24" s="224"/>
      <c r="C24" s="216"/>
      <c r="R24" s="217"/>
      <c r="S24" s="224"/>
      <c r="T24" s="224"/>
      <c r="U24" s="224"/>
      <c r="V24" s="224"/>
      <c r="W24" s="224"/>
      <c r="X24" s="224"/>
      <c r="Y24" s="224"/>
      <c r="Z24" s="224"/>
      <c r="AA24" s="224"/>
      <c r="AB24" s="224"/>
      <c r="AC24" s="224"/>
      <c r="AD24" s="224"/>
      <c r="AE24" s="224"/>
      <c r="AF24" s="224"/>
      <c r="AG24" s="224"/>
      <c r="AH24" s="224"/>
      <c r="AI24" s="224"/>
      <c r="AJ24" s="224"/>
      <c r="AK24" s="224"/>
      <c r="AL24" s="224"/>
      <c r="AM24" s="224"/>
      <c r="AN24" s="224"/>
      <c r="AO24" s="224"/>
      <c r="AP24" s="224"/>
    </row>
    <row r="25" spans="1:42" s="211" customFormat="1">
      <c r="A25" s="224"/>
      <c r="B25" s="224"/>
      <c r="C25" s="216"/>
      <c r="R25" s="217"/>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row>
    <row r="26" spans="1:42" s="211" customFormat="1">
      <c r="A26" s="224"/>
      <c r="B26" s="224"/>
      <c r="C26" s="216"/>
      <c r="R26" s="217"/>
      <c r="S26" s="224"/>
      <c r="T26" s="224"/>
      <c r="U26" s="224"/>
      <c r="V26" s="224"/>
      <c r="W26" s="224"/>
      <c r="X26" s="224"/>
      <c r="Y26" s="224"/>
      <c r="Z26" s="224"/>
      <c r="AA26" s="224"/>
      <c r="AB26" s="224"/>
      <c r="AC26" s="224"/>
      <c r="AD26" s="224"/>
      <c r="AE26" s="224"/>
      <c r="AF26" s="224"/>
      <c r="AG26" s="224"/>
      <c r="AH26" s="224"/>
      <c r="AI26" s="224"/>
      <c r="AJ26" s="224"/>
      <c r="AK26" s="224"/>
      <c r="AL26" s="224"/>
      <c r="AM26" s="224"/>
      <c r="AN26" s="224"/>
      <c r="AO26" s="224"/>
      <c r="AP26" s="224"/>
    </row>
    <row r="27" spans="1:42" s="211" customFormat="1">
      <c r="A27" s="224"/>
      <c r="B27" s="224"/>
      <c r="C27" s="216"/>
      <c r="R27" s="217"/>
      <c r="S27" s="224"/>
      <c r="T27" s="224"/>
      <c r="U27" s="224"/>
      <c r="V27" s="224"/>
      <c r="W27" s="224"/>
      <c r="X27" s="224"/>
      <c r="Y27" s="224"/>
      <c r="Z27" s="224"/>
      <c r="AA27" s="224"/>
      <c r="AB27" s="224"/>
      <c r="AC27" s="224"/>
      <c r="AD27" s="224"/>
      <c r="AE27" s="224"/>
      <c r="AF27" s="224"/>
      <c r="AG27" s="224"/>
      <c r="AH27" s="224"/>
      <c r="AI27" s="224"/>
      <c r="AJ27" s="224"/>
      <c r="AK27" s="224"/>
      <c r="AL27" s="224"/>
      <c r="AM27" s="224"/>
      <c r="AN27" s="224"/>
      <c r="AO27" s="224"/>
      <c r="AP27" s="224"/>
    </row>
    <row r="28" spans="1:42" s="211" customFormat="1">
      <c r="A28" s="224"/>
      <c r="B28" s="224"/>
      <c r="C28" s="216"/>
      <c r="R28" s="217"/>
      <c r="S28" s="224"/>
      <c r="T28" s="224"/>
      <c r="U28" s="224"/>
      <c r="V28" s="224"/>
      <c r="W28" s="224"/>
      <c r="X28" s="224"/>
      <c r="Y28" s="224"/>
      <c r="Z28" s="224"/>
      <c r="AA28" s="224"/>
      <c r="AB28" s="224"/>
      <c r="AC28" s="224"/>
      <c r="AD28" s="224"/>
      <c r="AE28" s="224"/>
      <c r="AF28" s="224"/>
      <c r="AG28" s="224"/>
      <c r="AH28" s="224"/>
      <c r="AI28" s="224"/>
      <c r="AJ28" s="224"/>
      <c r="AK28" s="224"/>
      <c r="AL28" s="224"/>
      <c r="AM28" s="224"/>
      <c r="AN28" s="224"/>
      <c r="AO28" s="224"/>
      <c r="AP28" s="224"/>
    </row>
    <row r="29" spans="1:42" s="211" customFormat="1">
      <c r="A29" s="224"/>
      <c r="B29" s="224"/>
      <c r="C29" s="216"/>
      <c r="R29" s="217"/>
      <c r="S29" s="224"/>
      <c r="T29" s="224"/>
      <c r="U29" s="224"/>
      <c r="V29" s="224"/>
      <c r="W29" s="224"/>
      <c r="X29" s="224"/>
      <c r="Y29" s="224"/>
      <c r="Z29" s="224"/>
      <c r="AA29" s="224"/>
      <c r="AB29" s="224"/>
      <c r="AC29" s="224"/>
      <c r="AD29" s="224"/>
      <c r="AE29" s="224"/>
      <c r="AF29" s="224"/>
      <c r="AG29" s="224"/>
      <c r="AH29" s="224"/>
      <c r="AI29" s="224"/>
      <c r="AJ29" s="224"/>
      <c r="AK29" s="224"/>
      <c r="AL29" s="224"/>
      <c r="AM29" s="224"/>
      <c r="AN29" s="224"/>
      <c r="AO29" s="224"/>
      <c r="AP29" s="224"/>
    </row>
    <row r="30" spans="1:42" s="211" customFormat="1">
      <c r="A30" s="224"/>
      <c r="B30" s="224"/>
      <c r="C30" s="216"/>
      <c r="R30" s="217"/>
      <c r="S30" s="224"/>
      <c r="T30" s="224"/>
      <c r="U30" s="224"/>
      <c r="V30" s="224"/>
      <c r="W30" s="224"/>
      <c r="X30" s="224"/>
      <c r="Y30" s="224"/>
      <c r="Z30" s="224"/>
      <c r="AA30" s="224"/>
      <c r="AB30" s="224"/>
      <c r="AC30" s="224"/>
      <c r="AD30" s="224"/>
      <c r="AE30" s="224"/>
      <c r="AF30" s="224"/>
      <c r="AG30" s="224"/>
      <c r="AH30" s="224"/>
      <c r="AI30" s="224"/>
      <c r="AJ30" s="224"/>
      <c r="AK30" s="224"/>
      <c r="AL30" s="224"/>
      <c r="AM30" s="224"/>
      <c r="AN30" s="224"/>
      <c r="AO30" s="224"/>
      <c r="AP30" s="224"/>
    </row>
    <row r="31" spans="1:42" s="211" customFormat="1">
      <c r="A31" s="224"/>
      <c r="B31" s="224"/>
      <c r="C31" s="216"/>
      <c r="R31" s="217"/>
      <c r="S31" s="224"/>
      <c r="T31" s="224"/>
      <c r="U31" s="224"/>
      <c r="V31" s="224"/>
      <c r="W31" s="224"/>
      <c r="X31" s="224"/>
      <c r="Y31" s="224"/>
      <c r="Z31" s="224"/>
      <c r="AA31" s="224"/>
      <c r="AB31" s="224"/>
      <c r="AC31" s="224"/>
      <c r="AD31" s="224"/>
      <c r="AE31" s="224"/>
      <c r="AF31" s="224"/>
      <c r="AG31" s="224"/>
      <c r="AH31" s="224"/>
      <c r="AI31" s="224"/>
      <c r="AJ31" s="224"/>
      <c r="AK31" s="224"/>
      <c r="AL31" s="224"/>
      <c r="AM31" s="224"/>
      <c r="AN31" s="224"/>
      <c r="AO31" s="224"/>
      <c r="AP31" s="224"/>
    </row>
    <row r="32" spans="1:42" s="211" customFormat="1">
      <c r="A32" s="224"/>
      <c r="B32" s="224"/>
      <c r="C32" s="216"/>
      <c r="R32" s="217"/>
      <c r="S32" s="224"/>
      <c r="T32" s="224"/>
      <c r="U32" s="224"/>
      <c r="V32" s="224"/>
      <c r="W32" s="224"/>
      <c r="X32" s="224"/>
      <c r="Y32" s="224"/>
      <c r="Z32" s="224"/>
      <c r="AA32" s="224"/>
      <c r="AB32" s="224"/>
      <c r="AC32" s="224"/>
      <c r="AD32" s="224"/>
      <c r="AE32" s="224"/>
      <c r="AF32" s="224"/>
      <c r="AG32" s="224"/>
      <c r="AH32" s="224"/>
      <c r="AI32" s="224"/>
      <c r="AJ32" s="224"/>
      <c r="AK32" s="224"/>
      <c r="AL32" s="224"/>
      <c r="AM32" s="224"/>
      <c r="AN32" s="224"/>
      <c r="AO32" s="224"/>
      <c r="AP32" s="224"/>
    </row>
    <row r="33" spans="1:42" s="211" customFormat="1">
      <c r="A33" s="224"/>
      <c r="B33" s="224"/>
      <c r="C33" s="216"/>
      <c r="R33" s="217"/>
      <c r="S33" s="224"/>
      <c r="T33" s="224"/>
      <c r="U33" s="224"/>
      <c r="V33" s="224"/>
      <c r="W33" s="224"/>
      <c r="X33" s="224"/>
      <c r="Y33" s="224"/>
      <c r="Z33" s="224"/>
      <c r="AA33" s="224"/>
      <c r="AB33" s="224"/>
      <c r="AC33" s="224"/>
      <c r="AD33" s="224"/>
      <c r="AE33" s="224"/>
      <c r="AF33" s="224"/>
      <c r="AG33" s="224"/>
      <c r="AH33" s="224"/>
      <c r="AI33" s="224"/>
      <c r="AJ33" s="224"/>
      <c r="AK33" s="224"/>
      <c r="AL33" s="224"/>
      <c r="AM33" s="224"/>
      <c r="AN33" s="224"/>
      <c r="AO33" s="224"/>
      <c r="AP33" s="224"/>
    </row>
    <row r="34" spans="1:42" s="211" customFormat="1">
      <c r="A34" s="224"/>
      <c r="B34" s="224"/>
      <c r="C34" s="216"/>
      <c r="R34" s="217"/>
      <c r="S34" s="224"/>
      <c r="T34" s="224"/>
      <c r="U34" s="224"/>
      <c r="V34" s="224"/>
      <c r="W34" s="224"/>
      <c r="X34" s="224"/>
      <c r="Y34" s="224"/>
      <c r="Z34" s="224"/>
      <c r="AA34" s="224"/>
      <c r="AB34" s="224"/>
      <c r="AC34" s="224"/>
      <c r="AD34" s="224"/>
      <c r="AE34" s="224"/>
      <c r="AF34" s="224"/>
      <c r="AG34" s="224"/>
      <c r="AH34" s="224"/>
      <c r="AI34" s="224"/>
      <c r="AJ34" s="224"/>
      <c r="AK34" s="224"/>
      <c r="AL34" s="224"/>
      <c r="AM34" s="224"/>
      <c r="AN34" s="224"/>
      <c r="AO34" s="224"/>
      <c r="AP34" s="224"/>
    </row>
    <row r="35" spans="1:42" s="211" customFormat="1">
      <c r="A35" s="224"/>
      <c r="B35" s="224"/>
      <c r="C35" s="216"/>
      <c r="R35" s="217"/>
      <c r="S35" s="224"/>
      <c r="T35" s="224"/>
      <c r="U35" s="224"/>
      <c r="V35" s="224"/>
      <c r="W35" s="224"/>
      <c r="X35" s="224"/>
      <c r="Y35" s="224"/>
      <c r="Z35" s="224"/>
      <c r="AA35" s="224"/>
      <c r="AB35" s="224"/>
      <c r="AC35" s="224"/>
      <c r="AD35" s="224"/>
      <c r="AE35" s="224"/>
      <c r="AF35" s="224"/>
      <c r="AG35" s="224"/>
      <c r="AH35" s="224"/>
      <c r="AI35" s="224"/>
      <c r="AJ35" s="224"/>
      <c r="AK35" s="224"/>
      <c r="AL35" s="224"/>
      <c r="AM35" s="224"/>
      <c r="AN35" s="224"/>
      <c r="AO35" s="224"/>
      <c r="AP35" s="224"/>
    </row>
    <row r="36" spans="1:42" s="211" customFormat="1">
      <c r="A36" s="224"/>
      <c r="B36" s="224"/>
      <c r="C36" s="216"/>
      <c r="R36" s="217"/>
      <c r="S36" s="224"/>
      <c r="T36" s="224"/>
      <c r="U36" s="224"/>
      <c r="V36" s="224"/>
      <c r="W36" s="224"/>
      <c r="X36" s="224"/>
      <c r="Y36" s="224"/>
      <c r="Z36" s="224"/>
      <c r="AA36" s="224"/>
      <c r="AB36" s="224"/>
      <c r="AC36" s="224"/>
      <c r="AD36" s="224"/>
      <c r="AE36" s="224"/>
      <c r="AF36" s="224"/>
      <c r="AG36" s="224"/>
      <c r="AH36" s="224"/>
      <c r="AI36" s="224"/>
      <c r="AJ36" s="224"/>
      <c r="AK36" s="224"/>
      <c r="AL36" s="224"/>
      <c r="AM36" s="224"/>
      <c r="AN36" s="224"/>
      <c r="AO36" s="224"/>
      <c r="AP36" s="224"/>
    </row>
    <row r="37" spans="1:42" s="211" customFormat="1">
      <c r="A37" s="224"/>
      <c r="B37" s="224"/>
      <c r="C37" s="406" t="s">
        <v>223</v>
      </c>
      <c r="D37" s="407"/>
      <c r="E37" s="407"/>
      <c r="F37" s="407"/>
      <c r="G37" s="407"/>
      <c r="H37" s="407"/>
      <c r="I37" s="407"/>
      <c r="J37" s="407"/>
      <c r="K37" s="407"/>
      <c r="L37" s="407"/>
      <c r="M37" s="407"/>
      <c r="N37" s="407"/>
      <c r="O37" s="407"/>
      <c r="P37" s="407"/>
      <c r="Q37" s="407"/>
      <c r="R37" s="408"/>
      <c r="S37" s="224"/>
      <c r="T37" s="224"/>
      <c r="U37" s="224"/>
      <c r="V37" s="224"/>
      <c r="W37" s="224"/>
      <c r="X37" s="224"/>
      <c r="Y37" s="224"/>
      <c r="Z37" s="224"/>
      <c r="AA37" s="224"/>
      <c r="AB37" s="224"/>
      <c r="AC37" s="224"/>
      <c r="AD37" s="224"/>
      <c r="AE37" s="224"/>
      <c r="AF37" s="224"/>
      <c r="AG37" s="224"/>
      <c r="AH37" s="224"/>
      <c r="AI37" s="224"/>
      <c r="AJ37" s="224"/>
      <c r="AK37" s="224"/>
      <c r="AL37" s="224"/>
      <c r="AM37" s="224"/>
      <c r="AN37" s="224"/>
      <c r="AO37" s="224"/>
      <c r="AP37" s="224"/>
    </row>
    <row r="38" spans="1:42" s="211" customFormat="1">
      <c r="A38" s="224"/>
      <c r="B38" s="224"/>
      <c r="C38" s="216"/>
      <c r="R38" s="217"/>
      <c r="S38" s="224"/>
      <c r="T38" s="224"/>
      <c r="U38" s="224"/>
      <c r="V38" s="224"/>
      <c r="W38" s="224"/>
      <c r="X38" s="224"/>
      <c r="Y38" s="224"/>
      <c r="Z38" s="224"/>
      <c r="AA38" s="224"/>
      <c r="AB38" s="224"/>
      <c r="AC38" s="224"/>
      <c r="AD38" s="224"/>
      <c r="AE38" s="224"/>
      <c r="AF38" s="224"/>
      <c r="AG38" s="224"/>
      <c r="AH38" s="224"/>
      <c r="AI38" s="224"/>
      <c r="AJ38" s="224"/>
      <c r="AK38" s="224"/>
      <c r="AL38" s="224"/>
      <c r="AM38" s="224"/>
      <c r="AN38" s="224"/>
      <c r="AO38" s="224"/>
      <c r="AP38" s="224"/>
    </row>
    <row r="39" spans="1:42" s="211" customFormat="1">
      <c r="A39" s="224"/>
      <c r="B39" s="224"/>
      <c r="C39" s="216"/>
      <c r="R39" s="217"/>
      <c r="S39" s="224"/>
      <c r="T39" s="224"/>
      <c r="U39" s="224"/>
      <c r="V39" s="224"/>
      <c r="W39" s="224"/>
      <c r="X39" s="224"/>
      <c r="Y39" s="224"/>
      <c r="Z39" s="224"/>
      <c r="AA39" s="224"/>
      <c r="AB39" s="224"/>
      <c r="AC39" s="224"/>
      <c r="AD39" s="224"/>
      <c r="AE39" s="224"/>
      <c r="AF39" s="224"/>
      <c r="AG39" s="224"/>
      <c r="AH39" s="224"/>
      <c r="AI39" s="224"/>
      <c r="AJ39" s="224"/>
      <c r="AK39" s="224"/>
      <c r="AL39" s="224"/>
      <c r="AM39" s="224"/>
      <c r="AN39" s="224"/>
      <c r="AO39" s="224"/>
      <c r="AP39" s="224"/>
    </row>
    <row r="40" spans="1:42" s="211" customFormat="1">
      <c r="A40" s="224"/>
      <c r="B40" s="224"/>
      <c r="C40" s="216"/>
      <c r="R40" s="217"/>
      <c r="S40" s="224"/>
      <c r="T40" s="224"/>
      <c r="U40" s="224"/>
      <c r="V40" s="224"/>
      <c r="W40" s="224"/>
      <c r="X40" s="224"/>
      <c r="Y40" s="224"/>
      <c r="Z40" s="224"/>
      <c r="AA40" s="224"/>
      <c r="AB40" s="224"/>
      <c r="AC40" s="224"/>
      <c r="AD40" s="224"/>
      <c r="AE40" s="224"/>
      <c r="AF40" s="224"/>
      <c r="AG40" s="224"/>
      <c r="AH40" s="224"/>
      <c r="AI40" s="224"/>
      <c r="AJ40" s="224"/>
      <c r="AK40" s="224"/>
      <c r="AL40" s="224"/>
      <c r="AM40" s="224"/>
      <c r="AN40" s="224"/>
      <c r="AO40" s="224"/>
      <c r="AP40" s="224"/>
    </row>
    <row r="41" spans="1:42" s="211" customFormat="1">
      <c r="A41" s="224"/>
      <c r="B41" s="224"/>
      <c r="C41" s="216"/>
      <c r="R41" s="217"/>
      <c r="S41" s="224"/>
      <c r="T41" s="224"/>
      <c r="U41" s="224"/>
      <c r="V41" s="224"/>
      <c r="W41" s="224"/>
      <c r="X41" s="224"/>
      <c r="Y41" s="224"/>
      <c r="Z41" s="224"/>
      <c r="AA41" s="224"/>
      <c r="AB41" s="224"/>
      <c r="AC41" s="224"/>
      <c r="AD41" s="224"/>
      <c r="AE41" s="224"/>
      <c r="AF41" s="224"/>
      <c r="AG41" s="224"/>
      <c r="AH41" s="224"/>
      <c r="AI41" s="224"/>
      <c r="AJ41" s="224"/>
      <c r="AK41" s="224"/>
      <c r="AL41" s="224"/>
      <c r="AM41" s="224"/>
      <c r="AN41" s="224"/>
      <c r="AO41" s="224"/>
      <c r="AP41" s="224"/>
    </row>
    <row r="42" spans="1:42" s="211" customFormat="1">
      <c r="A42" s="224"/>
      <c r="B42" s="224"/>
      <c r="C42" s="216"/>
      <c r="R42" s="217"/>
      <c r="S42" s="224"/>
      <c r="T42" s="224"/>
      <c r="U42" s="224"/>
      <c r="V42" s="224"/>
      <c r="W42" s="224"/>
      <c r="X42" s="224"/>
      <c r="Y42" s="224"/>
      <c r="Z42" s="224"/>
      <c r="AA42" s="224"/>
      <c r="AB42" s="224"/>
      <c r="AC42" s="224"/>
      <c r="AD42" s="224"/>
      <c r="AE42" s="224"/>
      <c r="AF42" s="224"/>
      <c r="AG42" s="224"/>
      <c r="AH42" s="224"/>
      <c r="AI42" s="224"/>
      <c r="AJ42" s="224"/>
      <c r="AK42" s="224"/>
      <c r="AL42" s="224"/>
      <c r="AM42" s="224"/>
      <c r="AN42" s="224"/>
      <c r="AO42" s="224"/>
      <c r="AP42" s="224"/>
    </row>
    <row r="43" spans="1:42" s="211" customFormat="1">
      <c r="A43" s="224"/>
      <c r="B43" s="224"/>
      <c r="C43" s="216"/>
      <c r="R43" s="217"/>
      <c r="S43" s="224"/>
      <c r="T43" s="224"/>
      <c r="U43" s="224"/>
      <c r="V43" s="224"/>
      <c r="W43" s="224"/>
      <c r="X43" s="224"/>
      <c r="Y43" s="224"/>
      <c r="Z43" s="224"/>
      <c r="AA43" s="224"/>
      <c r="AB43" s="224"/>
      <c r="AC43" s="224"/>
      <c r="AD43" s="224"/>
      <c r="AE43" s="224"/>
      <c r="AF43" s="224"/>
      <c r="AG43" s="224"/>
      <c r="AH43" s="224"/>
      <c r="AI43" s="224"/>
      <c r="AJ43" s="224"/>
      <c r="AK43" s="224"/>
      <c r="AL43" s="224"/>
      <c r="AM43" s="224"/>
      <c r="AN43" s="224"/>
      <c r="AO43" s="224"/>
      <c r="AP43" s="224"/>
    </row>
    <row r="44" spans="1:42" s="211" customFormat="1">
      <c r="A44" s="224"/>
      <c r="B44" s="224"/>
      <c r="C44" s="216"/>
      <c r="R44" s="217"/>
      <c r="S44" s="224"/>
      <c r="T44" s="224"/>
      <c r="U44" s="224"/>
      <c r="V44" s="224"/>
      <c r="W44" s="224"/>
      <c r="X44" s="224"/>
      <c r="Y44" s="224"/>
      <c r="Z44" s="224"/>
      <c r="AA44" s="224"/>
      <c r="AB44" s="224"/>
      <c r="AC44" s="224"/>
      <c r="AD44" s="224"/>
      <c r="AE44" s="224"/>
      <c r="AF44" s="224"/>
      <c r="AG44" s="224"/>
      <c r="AH44" s="224"/>
      <c r="AI44" s="224"/>
      <c r="AJ44" s="224"/>
      <c r="AK44" s="224"/>
      <c r="AL44" s="224"/>
      <c r="AM44" s="224"/>
      <c r="AN44" s="224"/>
      <c r="AO44" s="224"/>
      <c r="AP44" s="224"/>
    </row>
    <row r="45" spans="1:42" s="211" customFormat="1">
      <c r="A45" s="224"/>
      <c r="B45" s="224"/>
      <c r="C45" s="216"/>
      <c r="R45" s="217"/>
      <c r="S45" s="224"/>
      <c r="T45" s="224"/>
      <c r="U45" s="224"/>
      <c r="V45" s="224"/>
      <c r="W45" s="224"/>
      <c r="X45" s="224"/>
      <c r="Y45" s="224"/>
      <c r="Z45" s="224"/>
      <c r="AA45" s="224"/>
      <c r="AB45" s="224"/>
      <c r="AC45" s="224"/>
      <c r="AD45" s="224"/>
      <c r="AE45" s="224"/>
      <c r="AF45" s="224"/>
      <c r="AG45" s="224"/>
      <c r="AH45" s="224"/>
      <c r="AI45" s="224"/>
      <c r="AJ45" s="224"/>
      <c r="AK45" s="224"/>
      <c r="AL45" s="224"/>
      <c r="AM45" s="224"/>
      <c r="AN45" s="224"/>
      <c r="AO45" s="224"/>
      <c r="AP45" s="224"/>
    </row>
    <row r="46" spans="1:42" s="211" customFormat="1">
      <c r="A46" s="224"/>
      <c r="B46" s="224"/>
      <c r="C46" s="216"/>
      <c r="R46" s="217"/>
      <c r="S46" s="224"/>
      <c r="T46" s="224"/>
      <c r="U46" s="224"/>
      <c r="V46" s="224"/>
      <c r="W46" s="224"/>
      <c r="X46" s="224"/>
      <c r="Y46" s="224"/>
      <c r="Z46" s="224"/>
      <c r="AA46" s="224"/>
      <c r="AB46" s="224"/>
      <c r="AC46" s="224"/>
      <c r="AD46" s="224"/>
      <c r="AE46" s="224"/>
      <c r="AF46" s="224"/>
      <c r="AG46" s="224"/>
      <c r="AH46" s="224"/>
      <c r="AI46" s="224"/>
      <c r="AJ46" s="224"/>
      <c r="AK46" s="224"/>
      <c r="AL46" s="224"/>
      <c r="AM46" s="224"/>
      <c r="AN46" s="224"/>
      <c r="AO46" s="224"/>
      <c r="AP46" s="224"/>
    </row>
    <row r="47" spans="1:42" s="211" customFormat="1">
      <c r="A47" s="224"/>
      <c r="B47" s="224"/>
      <c r="C47" s="216"/>
      <c r="R47" s="217"/>
      <c r="S47" s="224"/>
      <c r="T47" s="224"/>
      <c r="U47" s="224"/>
      <c r="V47" s="224"/>
      <c r="W47" s="224"/>
      <c r="X47" s="224"/>
      <c r="Y47" s="224"/>
      <c r="Z47" s="224"/>
      <c r="AA47" s="224"/>
      <c r="AB47" s="224"/>
      <c r="AC47" s="224"/>
      <c r="AD47" s="224"/>
      <c r="AE47" s="224"/>
      <c r="AF47" s="224"/>
      <c r="AG47" s="224"/>
      <c r="AH47" s="224"/>
      <c r="AI47" s="224"/>
      <c r="AJ47" s="224"/>
      <c r="AK47" s="224"/>
      <c r="AL47" s="224"/>
      <c r="AM47" s="224"/>
      <c r="AN47" s="224"/>
      <c r="AO47" s="224"/>
      <c r="AP47" s="224"/>
    </row>
    <row r="48" spans="1:42" s="211" customFormat="1">
      <c r="A48" s="224"/>
      <c r="B48" s="224"/>
      <c r="C48" s="216"/>
      <c r="R48" s="217"/>
      <c r="S48" s="224"/>
      <c r="T48" s="224"/>
      <c r="U48" s="224"/>
      <c r="V48" s="224"/>
      <c r="W48" s="224"/>
      <c r="X48" s="224"/>
      <c r="Y48" s="224"/>
      <c r="Z48" s="224"/>
      <c r="AA48" s="224"/>
      <c r="AB48" s="224"/>
      <c r="AC48" s="224"/>
      <c r="AD48" s="224"/>
      <c r="AE48" s="224"/>
      <c r="AF48" s="224"/>
      <c r="AG48" s="224"/>
      <c r="AH48" s="224"/>
      <c r="AI48" s="224"/>
      <c r="AJ48" s="224"/>
      <c r="AK48" s="224"/>
      <c r="AL48" s="224"/>
      <c r="AM48" s="224"/>
      <c r="AN48" s="224"/>
      <c r="AO48" s="224"/>
      <c r="AP48" s="224"/>
    </row>
    <row r="49" spans="1:42" s="211" customFormat="1">
      <c r="A49" s="224"/>
      <c r="B49" s="224"/>
      <c r="C49" s="216"/>
      <c r="R49" s="217"/>
      <c r="S49" s="224"/>
      <c r="T49" s="224"/>
      <c r="U49" s="224"/>
      <c r="V49" s="224"/>
      <c r="W49" s="224"/>
      <c r="X49" s="224"/>
      <c r="Y49" s="224"/>
      <c r="Z49" s="224"/>
      <c r="AA49" s="224"/>
      <c r="AB49" s="224"/>
      <c r="AC49" s="224"/>
      <c r="AD49" s="224"/>
      <c r="AE49" s="224"/>
      <c r="AF49" s="224"/>
      <c r="AG49" s="224"/>
      <c r="AH49" s="224"/>
      <c r="AI49" s="224"/>
      <c r="AJ49" s="224"/>
      <c r="AK49" s="224"/>
      <c r="AL49" s="224"/>
      <c r="AM49" s="224"/>
      <c r="AN49" s="224"/>
      <c r="AO49" s="224"/>
      <c r="AP49" s="224"/>
    </row>
    <row r="50" spans="1:42" s="211" customFormat="1">
      <c r="A50" s="224"/>
      <c r="B50" s="224"/>
      <c r="C50" s="216"/>
      <c r="R50" s="217"/>
      <c r="S50" s="224"/>
      <c r="T50" s="224"/>
      <c r="U50" s="224"/>
      <c r="V50" s="224"/>
      <c r="W50" s="224"/>
      <c r="X50" s="224"/>
      <c r="Y50" s="224"/>
      <c r="Z50" s="224"/>
      <c r="AA50" s="224"/>
      <c r="AB50" s="224"/>
      <c r="AC50" s="224"/>
      <c r="AD50" s="224"/>
      <c r="AE50" s="224"/>
      <c r="AF50" s="224"/>
      <c r="AG50" s="224"/>
      <c r="AH50" s="224"/>
      <c r="AI50" s="224"/>
      <c r="AJ50" s="224"/>
      <c r="AK50" s="224"/>
      <c r="AL50" s="224"/>
      <c r="AM50" s="224"/>
      <c r="AN50" s="224"/>
      <c r="AO50" s="224"/>
      <c r="AP50" s="224"/>
    </row>
    <row r="51" spans="1:42" s="211" customFormat="1">
      <c r="A51" s="224"/>
      <c r="B51" s="224"/>
      <c r="C51" s="216"/>
      <c r="R51" s="217"/>
      <c r="S51" s="224"/>
      <c r="T51" s="224"/>
      <c r="U51" s="224"/>
      <c r="V51" s="224"/>
      <c r="W51" s="224"/>
      <c r="X51" s="224"/>
      <c r="Y51" s="224"/>
      <c r="Z51" s="224"/>
      <c r="AA51" s="224"/>
      <c r="AB51" s="224"/>
      <c r="AC51" s="224"/>
      <c r="AD51" s="224"/>
      <c r="AE51" s="224"/>
      <c r="AF51" s="224"/>
      <c r="AG51" s="224"/>
      <c r="AH51" s="224"/>
      <c r="AI51" s="224"/>
      <c r="AJ51" s="224"/>
      <c r="AK51" s="224"/>
      <c r="AL51" s="224"/>
      <c r="AM51" s="224"/>
      <c r="AN51" s="224"/>
      <c r="AO51" s="224"/>
      <c r="AP51" s="224"/>
    </row>
    <row r="52" spans="1:42" s="211" customFormat="1">
      <c r="A52" s="224"/>
      <c r="B52" s="224"/>
      <c r="C52" s="216"/>
      <c r="R52" s="217"/>
      <c r="S52" s="224"/>
      <c r="T52" s="224"/>
      <c r="U52" s="224"/>
      <c r="V52" s="224"/>
      <c r="W52" s="224"/>
      <c r="X52" s="224"/>
      <c r="Y52" s="224"/>
      <c r="Z52" s="224"/>
      <c r="AA52" s="224"/>
      <c r="AB52" s="224"/>
      <c r="AC52" s="224"/>
      <c r="AD52" s="224"/>
      <c r="AE52" s="224"/>
      <c r="AF52" s="224"/>
      <c r="AG52" s="224"/>
      <c r="AH52" s="224"/>
      <c r="AI52" s="224"/>
      <c r="AJ52" s="224"/>
      <c r="AK52" s="224"/>
      <c r="AL52" s="224"/>
      <c r="AM52" s="224"/>
      <c r="AN52" s="224"/>
      <c r="AO52" s="224"/>
      <c r="AP52" s="224"/>
    </row>
    <row r="53" spans="1:42" s="211" customFormat="1">
      <c r="A53" s="224"/>
      <c r="B53" s="224"/>
      <c r="C53" s="216"/>
      <c r="R53" s="217"/>
      <c r="S53" s="224"/>
      <c r="T53" s="224"/>
      <c r="U53" s="224"/>
      <c r="V53" s="224"/>
      <c r="W53" s="224"/>
      <c r="X53" s="224"/>
      <c r="Y53" s="224"/>
      <c r="Z53" s="224"/>
      <c r="AA53" s="224"/>
      <c r="AB53" s="224"/>
      <c r="AC53" s="224"/>
      <c r="AD53" s="224"/>
      <c r="AE53" s="224"/>
      <c r="AF53" s="224"/>
      <c r="AG53" s="224"/>
      <c r="AH53" s="224"/>
      <c r="AI53" s="224"/>
      <c r="AJ53" s="224"/>
      <c r="AK53" s="224"/>
      <c r="AL53" s="224"/>
      <c r="AM53" s="224"/>
      <c r="AN53" s="224"/>
      <c r="AO53" s="224"/>
      <c r="AP53" s="224"/>
    </row>
    <row r="54" spans="1:42" s="211" customFormat="1">
      <c r="A54" s="224"/>
      <c r="B54" s="224"/>
      <c r="C54" s="216"/>
      <c r="R54" s="217"/>
      <c r="S54" s="224"/>
      <c r="T54" s="224"/>
      <c r="U54" s="224"/>
      <c r="V54" s="224"/>
      <c r="W54" s="224"/>
      <c r="X54" s="224"/>
      <c r="Y54" s="224"/>
      <c r="Z54" s="224"/>
      <c r="AA54" s="224"/>
      <c r="AB54" s="224"/>
      <c r="AC54" s="224"/>
      <c r="AD54" s="224"/>
      <c r="AE54" s="224"/>
      <c r="AF54" s="224"/>
      <c r="AG54" s="224"/>
      <c r="AH54" s="224"/>
      <c r="AI54" s="224"/>
      <c r="AJ54" s="224"/>
      <c r="AK54" s="224"/>
      <c r="AL54" s="224"/>
      <c r="AM54" s="224"/>
      <c r="AN54" s="224"/>
      <c r="AO54" s="224"/>
      <c r="AP54" s="224"/>
    </row>
    <row r="55" spans="1:42" s="211" customFormat="1">
      <c r="A55" s="224"/>
      <c r="B55" s="224"/>
      <c r="C55" s="216"/>
      <c r="R55" s="217"/>
      <c r="S55" s="224"/>
      <c r="T55" s="224"/>
      <c r="U55" s="224"/>
      <c r="V55" s="224"/>
      <c r="W55" s="224"/>
      <c r="X55" s="224"/>
      <c r="Y55" s="224"/>
      <c r="Z55" s="224"/>
      <c r="AA55" s="224"/>
      <c r="AB55" s="224"/>
      <c r="AC55" s="224"/>
      <c r="AD55" s="224"/>
      <c r="AE55" s="224"/>
      <c r="AF55" s="224"/>
      <c r="AG55" s="224"/>
      <c r="AH55" s="224"/>
      <c r="AI55" s="224"/>
      <c r="AJ55" s="224"/>
      <c r="AK55" s="224"/>
      <c r="AL55" s="224"/>
      <c r="AM55" s="224"/>
      <c r="AN55" s="224"/>
      <c r="AO55" s="224"/>
      <c r="AP55" s="224"/>
    </row>
    <row r="56" spans="1:42" s="211" customFormat="1">
      <c r="A56" s="224"/>
      <c r="B56" s="224"/>
      <c r="C56" s="216"/>
      <c r="R56" s="217"/>
      <c r="S56" s="224"/>
      <c r="T56" s="224"/>
      <c r="U56" s="224"/>
      <c r="V56" s="224"/>
      <c r="W56" s="224"/>
      <c r="X56" s="224"/>
      <c r="Y56" s="224"/>
      <c r="Z56" s="224"/>
      <c r="AA56" s="224"/>
      <c r="AB56" s="224"/>
      <c r="AC56" s="224"/>
      <c r="AD56" s="224"/>
      <c r="AE56" s="224"/>
      <c r="AF56" s="224"/>
      <c r="AG56" s="224"/>
      <c r="AH56" s="224"/>
      <c r="AI56" s="224"/>
      <c r="AJ56" s="224"/>
      <c r="AK56" s="224"/>
      <c r="AL56" s="224"/>
      <c r="AM56" s="224"/>
      <c r="AN56" s="224"/>
      <c r="AO56" s="224"/>
      <c r="AP56" s="224"/>
    </row>
    <row r="57" spans="1:42" s="211" customFormat="1">
      <c r="A57" s="224"/>
      <c r="B57" s="224"/>
      <c r="C57" s="409" t="s">
        <v>228</v>
      </c>
      <c r="D57" s="410"/>
      <c r="E57" s="410"/>
      <c r="F57" s="410"/>
      <c r="G57" s="410"/>
      <c r="H57" s="410"/>
      <c r="I57" s="410"/>
      <c r="J57" s="410"/>
      <c r="K57" s="410"/>
      <c r="L57" s="410"/>
      <c r="M57" s="410"/>
      <c r="N57" s="410"/>
      <c r="O57" s="410"/>
      <c r="P57" s="410"/>
      <c r="Q57" s="410"/>
      <c r="R57" s="411"/>
      <c r="S57" s="224"/>
      <c r="T57" s="224"/>
      <c r="U57" s="224"/>
      <c r="V57" s="224"/>
      <c r="W57" s="224"/>
      <c r="X57" s="224"/>
      <c r="Y57" s="224"/>
      <c r="Z57" s="224"/>
      <c r="AA57" s="224"/>
      <c r="AB57" s="224"/>
      <c r="AC57" s="224"/>
      <c r="AD57" s="224"/>
      <c r="AE57" s="224"/>
      <c r="AF57" s="224"/>
      <c r="AG57" s="224"/>
      <c r="AH57" s="224"/>
      <c r="AI57" s="224"/>
      <c r="AJ57" s="224"/>
      <c r="AK57" s="224"/>
      <c r="AL57" s="224"/>
      <c r="AM57" s="224"/>
      <c r="AN57" s="224"/>
      <c r="AO57" s="224"/>
      <c r="AP57" s="224"/>
    </row>
    <row r="58" spans="1:42" s="211" customFormat="1">
      <c r="A58" s="224"/>
      <c r="B58" s="224"/>
      <c r="C58" s="213"/>
      <c r="D58" s="215"/>
      <c r="E58" s="213"/>
      <c r="F58" s="214"/>
      <c r="G58" s="215"/>
      <c r="H58" s="213"/>
      <c r="I58" s="214"/>
      <c r="J58" s="214"/>
      <c r="K58" s="214"/>
      <c r="L58" s="215"/>
      <c r="R58" s="217"/>
      <c r="S58" s="224"/>
      <c r="T58" s="224"/>
      <c r="U58" s="224"/>
      <c r="V58" s="224"/>
      <c r="W58" s="224"/>
      <c r="X58" s="224"/>
      <c r="Y58" s="224"/>
      <c r="Z58" s="224"/>
      <c r="AA58" s="224"/>
      <c r="AB58" s="224"/>
      <c r="AC58" s="224"/>
      <c r="AD58" s="224"/>
      <c r="AE58" s="224"/>
      <c r="AF58" s="224"/>
      <c r="AG58" s="224"/>
      <c r="AH58" s="224"/>
      <c r="AI58" s="224"/>
      <c r="AJ58" s="224"/>
      <c r="AK58" s="224"/>
      <c r="AL58" s="224"/>
      <c r="AM58" s="224"/>
      <c r="AN58" s="224"/>
      <c r="AO58" s="224"/>
      <c r="AP58" s="224"/>
    </row>
    <row r="59" spans="1:42" s="211" customFormat="1" ht="28.95" customHeight="1">
      <c r="A59" s="224"/>
      <c r="B59" s="224"/>
      <c r="C59" s="398" t="s">
        <v>229</v>
      </c>
      <c r="D59" s="399"/>
      <c r="E59" s="395" t="s">
        <v>230</v>
      </c>
      <c r="F59" s="396"/>
      <c r="G59" s="397"/>
      <c r="H59" s="395" t="s">
        <v>231</v>
      </c>
      <c r="I59" s="396"/>
      <c r="J59" s="396"/>
      <c r="K59" s="396"/>
      <c r="L59" s="397"/>
      <c r="M59" s="396" t="s">
        <v>232</v>
      </c>
      <c r="N59" s="396"/>
      <c r="O59" s="396"/>
      <c r="P59" s="396"/>
      <c r="Q59" s="396"/>
      <c r="R59" s="397"/>
      <c r="S59" s="224"/>
      <c r="T59" s="224"/>
      <c r="U59" s="224"/>
      <c r="V59" s="224"/>
      <c r="W59" s="224"/>
      <c r="X59" s="224"/>
      <c r="Y59" s="224"/>
      <c r="Z59" s="224"/>
      <c r="AA59" s="224"/>
      <c r="AB59" s="224"/>
      <c r="AC59" s="224"/>
      <c r="AD59" s="224"/>
      <c r="AE59" s="224"/>
      <c r="AF59" s="224"/>
      <c r="AG59" s="224"/>
      <c r="AH59" s="224"/>
      <c r="AI59" s="224"/>
      <c r="AJ59" s="224"/>
      <c r="AK59" s="224"/>
      <c r="AL59" s="224"/>
      <c r="AM59" s="224"/>
      <c r="AN59" s="224"/>
      <c r="AO59" s="224"/>
      <c r="AP59" s="224"/>
    </row>
    <row r="60" spans="1:42" s="211" customFormat="1" ht="28.95" customHeight="1">
      <c r="A60" s="224"/>
      <c r="B60" s="224"/>
      <c r="C60" s="221"/>
      <c r="D60" s="217"/>
      <c r="E60" s="270"/>
      <c r="F60" s="222"/>
      <c r="G60" s="223"/>
      <c r="H60" s="216"/>
      <c r="I60" s="222"/>
      <c r="J60" s="222"/>
      <c r="K60" s="222"/>
      <c r="L60" s="217"/>
      <c r="M60" s="222"/>
      <c r="N60" s="222"/>
      <c r="P60" s="222"/>
      <c r="Q60" s="222"/>
      <c r="R60" s="223"/>
      <c r="S60" s="224"/>
      <c r="T60" s="224"/>
      <c r="U60" s="224"/>
      <c r="V60" s="224"/>
      <c r="W60" s="224"/>
      <c r="X60" s="224"/>
      <c r="Y60" s="224"/>
      <c r="Z60" s="224"/>
      <c r="AA60" s="224"/>
      <c r="AB60" s="224"/>
      <c r="AC60" s="224"/>
      <c r="AD60" s="224"/>
      <c r="AE60" s="224"/>
      <c r="AF60" s="224"/>
      <c r="AG60" s="224"/>
      <c r="AH60" s="224"/>
      <c r="AI60" s="224"/>
      <c r="AJ60" s="224"/>
      <c r="AK60" s="224"/>
      <c r="AL60" s="224"/>
      <c r="AM60" s="224"/>
      <c r="AN60" s="224"/>
      <c r="AO60" s="224"/>
      <c r="AP60" s="224"/>
    </row>
    <row r="61" spans="1:42" s="211" customFormat="1" ht="28.95" customHeight="1">
      <c r="A61" s="224"/>
      <c r="B61" s="224"/>
      <c r="C61" s="221"/>
      <c r="D61" s="217"/>
      <c r="E61" s="270"/>
      <c r="F61" s="222"/>
      <c r="G61" s="223"/>
      <c r="H61" s="216"/>
      <c r="I61" s="222"/>
      <c r="J61" s="222"/>
      <c r="K61" s="222"/>
      <c r="L61" s="217"/>
      <c r="M61" s="222"/>
      <c r="N61" s="222" t="s">
        <v>267</v>
      </c>
      <c r="P61" s="222"/>
      <c r="Q61" s="222" t="s">
        <v>268</v>
      </c>
      <c r="R61" s="223"/>
      <c r="S61" s="224"/>
      <c r="T61" s="224"/>
      <c r="U61" s="224"/>
      <c r="V61" s="224"/>
      <c r="W61" s="224"/>
      <c r="X61" s="224"/>
      <c r="Y61" s="224"/>
      <c r="Z61" s="224"/>
      <c r="AA61" s="224"/>
      <c r="AB61" s="224"/>
      <c r="AC61" s="224"/>
      <c r="AD61" s="224"/>
      <c r="AE61" s="224"/>
      <c r="AF61" s="224"/>
      <c r="AG61" s="224"/>
      <c r="AH61" s="224"/>
      <c r="AI61" s="224"/>
      <c r="AJ61" s="224"/>
      <c r="AK61" s="224"/>
      <c r="AL61" s="224"/>
      <c r="AM61" s="224"/>
      <c r="AN61" s="224"/>
      <c r="AO61" s="224"/>
      <c r="AP61" s="224"/>
    </row>
    <row r="62" spans="1:42" s="211" customFormat="1" ht="28.95" customHeight="1">
      <c r="A62" s="224"/>
      <c r="B62" s="224"/>
      <c r="C62" s="221"/>
      <c r="D62" s="217"/>
      <c r="E62" s="270"/>
      <c r="F62" s="222"/>
      <c r="G62" s="223"/>
      <c r="H62" s="216"/>
      <c r="I62" s="222"/>
      <c r="J62" s="222"/>
      <c r="K62" s="222"/>
      <c r="L62" s="217"/>
      <c r="M62" s="222"/>
      <c r="N62" s="222"/>
      <c r="O62" s="222"/>
      <c r="Q62" s="222"/>
      <c r="R62" s="223"/>
      <c r="S62" s="224"/>
      <c r="T62" s="224"/>
      <c r="U62" s="224"/>
      <c r="V62" s="224"/>
      <c r="W62" s="224"/>
      <c r="X62" s="224"/>
      <c r="Y62" s="224"/>
      <c r="Z62" s="224"/>
      <c r="AA62" s="224"/>
      <c r="AB62" s="224"/>
      <c r="AC62" s="224"/>
      <c r="AD62" s="224"/>
      <c r="AE62" s="224"/>
      <c r="AF62" s="224"/>
      <c r="AG62" s="224"/>
      <c r="AH62" s="224"/>
      <c r="AI62" s="224"/>
      <c r="AJ62" s="224"/>
      <c r="AK62" s="224"/>
      <c r="AL62" s="224"/>
      <c r="AM62" s="224"/>
      <c r="AN62" s="224"/>
      <c r="AO62" s="224"/>
      <c r="AP62" s="224"/>
    </row>
    <row r="63" spans="1:42" s="211" customFormat="1" ht="28.95" customHeight="1">
      <c r="A63" s="224"/>
      <c r="B63" s="224"/>
      <c r="C63" s="269"/>
      <c r="D63" s="220"/>
      <c r="E63" s="271"/>
      <c r="F63" s="272"/>
      <c r="G63" s="273"/>
      <c r="H63" s="218"/>
      <c r="I63" s="272"/>
      <c r="J63" s="272"/>
      <c r="K63" s="272"/>
      <c r="L63" s="220"/>
      <c r="M63" s="222"/>
      <c r="N63" s="222"/>
      <c r="O63" s="222" t="s">
        <v>269</v>
      </c>
      <c r="Q63" s="222"/>
      <c r="R63" s="223"/>
      <c r="S63" s="224"/>
      <c r="T63" s="224"/>
      <c r="U63" s="224"/>
      <c r="V63" s="224"/>
      <c r="W63" s="224"/>
      <c r="X63" s="224"/>
      <c r="Y63" s="224"/>
      <c r="Z63" s="224"/>
      <c r="AA63" s="224"/>
      <c r="AB63" s="224"/>
      <c r="AC63" s="224"/>
      <c r="AD63" s="224"/>
      <c r="AE63" s="224"/>
      <c r="AF63" s="224"/>
      <c r="AG63" s="224"/>
      <c r="AH63" s="224"/>
      <c r="AI63" s="224"/>
      <c r="AJ63" s="224"/>
      <c r="AK63" s="224"/>
      <c r="AL63" s="224"/>
      <c r="AM63" s="224"/>
      <c r="AN63" s="224"/>
      <c r="AO63" s="224"/>
      <c r="AP63" s="224"/>
    </row>
    <row r="64" spans="1:42" s="211" customFormat="1" ht="28.95" customHeight="1">
      <c r="A64" s="224"/>
      <c r="B64" s="224"/>
      <c r="C64" s="392" t="s">
        <v>270</v>
      </c>
      <c r="D64" s="393"/>
      <c r="E64" s="393"/>
      <c r="F64" s="393"/>
      <c r="G64" s="393"/>
      <c r="H64" s="393"/>
      <c r="I64" s="393"/>
      <c r="J64" s="393"/>
      <c r="K64" s="393"/>
      <c r="L64" s="393"/>
      <c r="M64" s="393"/>
      <c r="N64" s="393"/>
      <c r="O64" s="393"/>
      <c r="P64" s="393"/>
      <c r="Q64" s="393"/>
      <c r="R64" s="394"/>
      <c r="S64" s="224"/>
      <c r="T64" s="224"/>
      <c r="U64" s="224"/>
      <c r="V64" s="224"/>
      <c r="W64" s="224"/>
      <c r="X64" s="224"/>
      <c r="Y64" s="224"/>
      <c r="Z64" s="224"/>
      <c r="AA64" s="224"/>
      <c r="AB64" s="224"/>
      <c r="AC64" s="224"/>
      <c r="AD64" s="224"/>
      <c r="AE64" s="224"/>
      <c r="AF64" s="224"/>
      <c r="AG64" s="224"/>
      <c r="AH64" s="224"/>
      <c r="AI64" s="224"/>
      <c r="AJ64" s="224"/>
      <c r="AK64" s="224"/>
      <c r="AL64" s="224"/>
      <c r="AM64" s="224"/>
      <c r="AN64" s="224"/>
      <c r="AO64" s="224"/>
      <c r="AP64" s="224"/>
    </row>
    <row r="65" spans="1:42" s="211" customFormat="1" ht="28.95" customHeight="1">
      <c r="A65" s="224"/>
      <c r="B65" s="224"/>
      <c r="C65" s="221"/>
      <c r="E65" s="222"/>
      <c r="F65" s="222"/>
      <c r="G65" s="222"/>
      <c r="I65" s="222"/>
      <c r="J65" s="222"/>
      <c r="K65" s="222"/>
      <c r="M65" s="222"/>
      <c r="N65" s="222"/>
      <c r="O65" s="222"/>
      <c r="Q65" s="222"/>
      <c r="R65" s="223"/>
      <c r="S65" s="224"/>
      <c r="T65" s="224"/>
      <c r="U65" s="224"/>
      <c r="V65" s="224"/>
      <c r="W65" s="224"/>
      <c r="X65" s="224"/>
      <c r="Y65" s="224"/>
      <c r="Z65" s="224"/>
      <c r="AA65" s="224"/>
      <c r="AB65" s="224"/>
      <c r="AC65" s="224"/>
      <c r="AD65" s="224"/>
      <c r="AE65" s="224"/>
      <c r="AF65" s="224"/>
      <c r="AG65" s="224"/>
      <c r="AH65" s="224"/>
      <c r="AI65" s="224"/>
      <c r="AJ65" s="224"/>
      <c r="AK65" s="224"/>
      <c r="AL65" s="224"/>
      <c r="AM65" s="224"/>
      <c r="AN65" s="224"/>
      <c r="AO65" s="224"/>
      <c r="AP65" s="224"/>
    </row>
    <row r="66" spans="1:42" s="211" customFormat="1" ht="28.95" customHeight="1">
      <c r="A66" s="224"/>
      <c r="B66" s="224"/>
      <c r="C66" s="221"/>
      <c r="E66" s="222"/>
      <c r="F66" s="222"/>
      <c r="G66" s="222"/>
      <c r="I66" s="222"/>
      <c r="J66" s="222"/>
      <c r="K66" s="222"/>
      <c r="M66" s="222"/>
      <c r="N66" s="222"/>
      <c r="O66" s="222"/>
      <c r="Q66" s="222"/>
      <c r="R66" s="223"/>
      <c r="S66" s="224"/>
      <c r="T66" s="224"/>
      <c r="U66" s="224"/>
      <c r="V66" s="224"/>
      <c r="W66" s="224"/>
      <c r="X66" s="224"/>
      <c r="Y66" s="224"/>
      <c r="Z66" s="224"/>
      <c r="AA66" s="224"/>
      <c r="AB66" s="224"/>
      <c r="AC66" s="224"/>
      <c r="AD66" s="224"/>
      <c r="AE66" s="224"/>
      <c r="AF66" s="224"/>
      <c r="AG66" s="224"/>
      <c r="AH66" s="224"/>
      <c r="AI66" s="224"/>
      <c r="AJ66" s="224"/>
      <c r="AK66" s="224"/>
      <c r="AL66" s="224"/>
      <c r="AM66" s="224"/>
      <c r="AN66" s="224"/>
      <c r="AO66" s="224"/>
      <c r="AP66" s="224"/>
    </row>
    <row r="67" spans="1:42" s="211" customFormat="1" ht="28.95" customHeight="1">
      <c r="A67" s="224"/>
      <c r="B67" s="224"/>
      <c r="C67" s="221"/>
      <c r="E67" s="222"/>
      <c r="F67" s="222"/>
      <c r="G67" s="222"/>
      <c r="I67" s="222"/>
      <c r="J67" s="222"/>
      <c r="K67" s="222"/>
      <c r="M67" s="222"/>
      <c r="N67" s="222"/>
      <c r="O67" s="222"/>
      <c r="Q67" s="222"/>
      <c r="R67" s="223"/>
      <c r="S67" s="224"/>
      <c r="T67" s="224"/>
      <c r="U67" s="224"/>
      <c r="V67" s="224"/>
      <c r="W67" s="224"/>
      <c r="X67" s="224"/>
      <c r="Y67" s="224"/>
      <c r="Z67" s="224"/>
      <c r="AA67" s="224"/>
      <c r="AB67" s="224"/>
      <c r="AC67" s="224"/>
      <c r="AD67" s="224"/>
      <c r="AE67" s="224"/>
      <c r="AF67" s="224"/>
      <c r="AG67" s="224"/>
      <c r="AH67" s="224"/>
      <c r="AI67" s="224"/>
      <c r="AJ67" s="224"/>
      <c r="AK67" s="224"/>
      <c r="AL67" s="224"/>
      <c r="AM67" s="224"/>
      <c r="AN67" s="224"/>
      <c r="AO67" s="224"/>
      <c r="AP67" s="224"/>
    </row>
    <row r="68" spans="1:42" s="211" customFormat="1" ht="28.95" customHeight="1">
      <c r="A68" s="224"/>
      <c r="B68" s="224"/>
      <c r="C68" s="221"/>
      <c r="E68" s="222"/>
      <c r="F68" s="222"/>
      <c r="G68" s="222"/>
      <c r="I68" s="222"/>
      <c r="J68" s="222"/>
      <c r="K68" s="222"/>
      <c r="M68" s="222"/>
      <c r="N68" s="222"/>
      <c r="O68" s="222"/>
      <c r="Q68" s="222"/>
      <c r="R68" s="223"/>
      <c r="S68" s="224"/>
      <c r="T68" s="224"/>
      <c r="U68" s="224"/>
      <c r="V68" s="224"/>
      <c r="W68" s="224"/>
      <c r="X68" s="224"/>
      <c r="Y68" s="224"/>
      <c r="Z68" s="224"/>
      <c r="AA68" s="224"/>
      <c r="AB68" s="224"/>
      <c r="AC68" s="224"/>
      <c r="AD68" s="224"/>
      <c r="AE68" s="224"/>
      <c r="AF68" s="224"/>
      <c r="AG68" s="224"/>
      <c r="AH68" s="224"/>
      <c r="AI68" s="224"/>
      <c r="AJ68" s="224"/>
      <c r="AK68" s="224"/>
      <c r="AL68" s="224"/>
      <c r="AM68" s="224"/>
      <c r="AN68" s="224"/>
      <c r="AO68" s="224"/>
      <c r="AP68" s="224"/>
    </row>
    <row r="69" spans="1:42" s="211" customFormat="1" ht="28.95" customHeight="1">
      <c r="A69" s="224"/>
      <c r="B69" s="224"/>
      <c r="C69" s="221"/>
      <c r="E69" s="222"/>
      <c r="F69" s="222"/>
      <c r="G69" s="222"/>
      <c r="I69" s="222"/>
      <c r="J69" s="222"/>
      <c r="K69" s="222"/>
      <c r="M69" s="222"/>
      <c r="N69" s="222"/>
      <c r="O69" s="222"/>
      <c r="P69" s="222"/>
      <c r="Q69" s="222"/>
      <c r="R69" s="223"/>
      <c r="S69" s="224"/>
      <c r="T69" s="224"/>
      <c r="U69" s="224"/>
      <c r="V69" s="224"/>
      <c r="W69" s="224"/>
      <c r="X69" s="224"/>
      <c r="Y69" s="224"/>
      <c r="Z69" s="224"/>
      <c r="AA69" s="224"/>
      <c r="AB69" s="224"/>
      <c r="AC69" s="224"/>
      <c r="AD69" s="224"/>
      <c r="AE69" s="224"/>
      <c r="AF69" s="224"/>
      <c r="AG69" s="224"/>
      <c r="AH69" s="224"/>
      <c r="AI69" s="224"/>
      <c r="AJ69" s="224"/>
      <c r="AK69" s="224"/>
      <c r="AL69" s="224"/>
      <c r="AM69" s="224"/>
      <c r="AN69" s="224"/>
      <c r="AO69" s="224"/>
      <c r="AP69" s="224"/>
    </row>
    <row r="70" spans="1:42" s="211" customFormat="1" ht="28.95" customHeight="1">
      <c r="A70" s="224"/>
      <c r="B70" s="224"/>
      <c r="C70" s="221"/>
      <c r="E70" s="222"/>
      <c r="F70" s="222"/>
      <c r="G70" s="222"/>
      <c r="I70" s="222"/>
      <c r="J70" s="222"/>
      <c r="K70" s="222"/>
      <c r="M70" s="222"/>
      <c r="N70" s="222"/>
      <c r="O70" s="222"/>
      <c r="P70" s="222"/>
      <c r="Q70" s="222"/>
      <c r="R70" s="223"/>
      <c r="S70" s="224"/>
      <c r="T70" s="224"/>
      <c r="U70" s="224"/>
      <c r="V70" s="224"/>
      <c r="W70" s="224"/>
      <c r="X70" s="224"/>
      <c r="Y70" s="224"/>
      <c r="Z70" s="224"/>
      <c r="AA70" s="224"/>
      <c r="AB70" s="224"/>
      <c r="AC70" s="224"/>
      <c r="AD70" s="224"/>
      <c r="AE70" s="224"/>
      <c r="AF70" s="224"/>
      <c r="AG70" s="224"/>
      <c r="AH70" s="224"/>
      <c r="AI70" s="224"/>
      <c r="AJ70" s="224"/>
      <c r="AK70" s="224"/>
      <c r="AL70" s="224"/>
      <c r="AM70" s="224"/>
      <c r="AN70" s="224"/>
      <c r="AO70" s="224"/>
      <c r="AP70" s="224"/>
    </row>
    <row r="71" spans="1:42" s="211" customFormat="1" ht="28.95" customHeight="1">
      <c r="A71" s="224"/>
      <c r="B71" s="224"/>
      <c r="C71" s="221"/>
      <c r="E71" s="222"/>
      <c r="F71" s="222"/>
      <c r="G71" s="222"/>
      <c r="I71" s="222"/>
      <c r="J71" s="222"/>
      <c r="K71" s="222"/>
      <c r="M71" s="222"/>
      <c r="N71" s="222"/>
      <c r="O71" s="222"/>
      <c r="P71" s="222"/>
      <c r="Q71" s="222"/>
      <c r="R71" s="223"/>
      <c r="S71" s="224"/>
      <c r="T71" s="224"/>
      <c r="U71" s="224"/>
      <c r="V71" s="224"/>
      <c r="W71" s="224"/>
      <c r="X71" s="224"/>
      <c r="Y71" s="224"/>
      <c r="Z71" s="224"/>
      <c r="AA71" s="224"/>
      <c r="AB71" s="224"/>
      <c r="AC71" s="224"/>
      <c r="AD71" s="224"/>
      <c r="AE71" s="224"/>
      <c r="AF71" s="224"/>
      <c r="AG71" s="224"/>
      <c r="AH71" s="224"/>
      <c r="AI71" s="224"/>
      <c r="AJ71" s="224"/>
      <c r="AK71" s="224"/>
      <c r="AL71" s="224"/>
      <c r="AM71" s="224"/>
      <c r="AN71" s="224"/>
      <c r="AO71" s="224"/>
      <c r="AP71" s="224"/>
    </row>
    <row r="72" spans="1:42" s="211" customFormat="1" ht="28.95" customHeight="1">
      <c r="A72" s="224"/>
      <c r="B72" s="224"/>
      <c r="C72" s="221"/>
      <c r="E72" s="222"/>
      <c r="F72" s="222"/>
      <c r="G72" s="222"/>
      <c r="I72" s="222"/>
      <c r="J72" s="222"/>
      <c r="K72" s="222"/>
      <c r="M72" s="222"/>
      <c r="N72" s="222"/>
      <c r="O72" s="222"/>
      <c r="P72" s="222"/>
      <c r="Q72" s="222"/>
      <c r="R72" s="223"/>
      <c r="S72" s="224"/>
      <c r="T72" s="224"/>
      <c r="U72" s="224"/>
      <c r="V72" s="224"/>
      <c r="W72" s="224"/>
      <c r="X72" s="224"/>
      <c r="Y72" s="224"/>
      <c r="Z72" s="224"/>
      <c r="AA72" s="224"/>
      <c r="AB72" s="224"/>
      <c r="AC72" s="224"/>
      <c r="AD72" s="224"/>
      <c r="AE72" s="224"/>
      <c r="AF72" s="224"/>
      <c r="AG72" s="224"/>
      <c r="AH72" s="224"/>
      <c r="AI72" s="224"/>
      <c r="AJ72" s="224"/>
      <c r="AK72" s="224"/>
      <c r="AL72" s="224"/>
      <c r="AM72" s="224"/>
      <c r="AN72" s="224"/>
      <c r="AO72" s="224"/>
      <c r="AP72" s="224"/>
    </row>
    <row r="73" spans="1:42" s="211" customFormat="1">
      <c r="A73" s="224"/>
      <c r="B73" s="224"/>
      <c r="C73" s="218"/>
      <c r="R73" s="217"/>
      <c r="S73" s="224"/>
      <c r="T73" s="224"/>
      <c r="U73" s="224"/>
      <c r="V73" s="224"/>
      <c r="W73" s="224"/>
      <c r="X73" s="224"/>
      <c r="Y73" s="224"/>
      <c r="Z73" s="224"/>
      <c r="AA73" s="224"/>
      <c r="AB73" s="224"/>
      <c r="AC73" s="224"/>
      <c r="AD73" s="224"/>
      <c r="AE73" s="224"/>
      <c r="AF73" s="224"/>
      <c r="AG73" s="224"/>
      <c r="AH73" s="224"/>
      <c r="AI73" s="224"/>
      <c r="AJ73" s="224"/>
      <c r="AK73" s="224"/>
      <c r="AL73" s="224"/>
      <c r="AM73" s="224"/>
      <c r="AN73" s="224"/>
      <c r="AO73" s="224"/>
      <c r="AP73" s="224"/>
    </row>
    <row r="74" spans="1:42" s="211" customFormat="1">
      <c r="A74" s="224"/>
      <c r="B74" s="224"/>
      <c r="C74" s="389" t="s">
        <v>233</v>
      </c>
      <c r="D74" s="390"/>
      <c r="E74" s="390"/>
      <c r="F74" s="390"/>
      <c r="G74" s="390"/>
      <c r="H74" s="390"/>
      <c r="I74" s="390"/>
      <c r="J74" s="390"/>
      <c r="K74" s="390"/>
      <c r="L74" s="390"/>
      <c r="M74" s="390"/>
      <c r="N74" s="390"/>
      <c r="O74" s="390"/>
      <c r="P74" s="390"/>
      <c r="Q74" s="390"/>
      <c r="R74" s="391"/>
      <c r="S74" s="224"/>
      <c r="T74" s="224"/>
      <c r="U74" s="224"/>
      <c r="V74" s="224"/>
      <c r="W74" s="224"/>
      <c r="X74" s="224"/>
      <c r="Y74" s="224"/>
      <c r="Z74" s="224"/>
      <c r="AA74" s="224"/>
      <c r="AB74" s="224"/>
      <c r="AC74" s="224"/>
      <c r="AD74" s="224"/>
      <c r="AE74" s="224"/>
      <c r="AF74" s="224"/>
      <c r="AG74" s="224"/>
      <c r="AH74" s="224"/>
      <c r="AI74" s="224"/>
      <c r="AJ74" s="224"/>
      <c r="AK74" s="224"/>
      <c r="AL74" s="224"/>
      <c r="AM74" s="224"/>
      <c r="AN74" s="224"/>
      <c r="AO74" s="224"/>
      <c r="AP74" s="224"/>
    </row>
    <row r="75" spans="1:42" s="211" customFormat="1">
      <c r="A75" s="224"/>
      <c r="B75" s="224"/>
      <c r="C75" s="213" t="s">
        <v>234</v>
      </c>
      <c r="D75" s="214"/>
      <c r="E75" s="214"/>
      <c r="F75" s="214"/>
      <c r="G75" s="214"/>
      <c r="H75" s="214"/>
      <c r="I75" s="214"/>
      <c r="J75" s="214"/>
      <c r="K75" s="214"/>
      <c r="L75" s="214"/>
      <c r="M75" s="214"/>
      <c r="N75" s="214"/>
      <c r="O75" s="214"/>
      <c r="P75" s="214"/>
      <c r="Q75" s="214"/>
      <c r="R75" s="215"/>
      <c r="S75" s="224"/>
      <c r="T75" s="224"/>
      <c r="U75" s="224"/>
      <c r="V75" s="224"/>
      <c r="W75" s="224"/>
      <c r="X75" s="224"/>
      <c r="Y75" s="224"/>
      <c r="Z75" s="224"/>
      <c r="AA75" s="224"/>
      <c r="AB75" s="224"/>
      <c r="AC75" s="224"/>
      <c r="AD75" s="224"/>
      <c r="AE75" s="224"/>
      <c r="AF75" s="224"/>
      <c r="AG75" s="224"/>
      <c r="AH75" s="224"/>
      <c r="AI75" s="224"/>
      <c r="AJ75" s="224"/>
      <c r="AK75" s="224"/>
      <c r="AL75" s="224"/>
      <c r="AM75" s="224"/>
      <c r="AN75" s="224"/>
      <c r="AO75" s="224"/>
      <c r="AP75" s="224"/>
    </row>
    <row r="76" spans="1:42" s="211" customFormat="1">
      <c r="A76" s="224"/>
      <c r="B76" s="224"/>
      <c r="C76" s="216"/>
      <c r="R76" s="217"/>
      <c r="S76" s="224"/>
      <c r="T76" s="224"/>
      <c r="U76" s="224"/>
      <c r="V76" s="224"/>
      <c r="W76" s="224"/>
      <c r="X76" s="224"/>
      <c r="Y76" s="224"/>
      <c r="Z76" s="224"/>
      <c r="AA76" s="224"/>
      <c r="AB76" s="224"/>
      <c r="AC76" s="224"/>
      <c r="AD76" s="224"/>
      <c r="AE76" s="224"/>
      <c r="AF76" s="224"/>
      <c r="AG76" s="224"/>
      <c r="AH76" s="224"/>
      <c r="AI76" s="224"/>
      <c r="AJ76" s="224"/>
      <c r="AK76" s="224"/>
      <c r="AL76" s="224"/>
      <c r="AM76" s="224"/>
      <c r="AN76" s="224"/>
      <c r="AO76" s="224"/>
      <c r="AP76" s="224"/>
    </row>
    <row r="77" spans="1:42" s="211" customFormat="1">
      <c r="A77" s="224"/>
      <c r="B77" s="224"/>
      <c r="C77" s="386" t="s">
        <v>235</v>
      </c>
      <c r="D77" s="213"/>
      <c r="E77" s="214"/>
      <c r="F77" s="214"/>
      <c r="G77" s="214"/>
      <c r="H77" s="214"/>
      <c r="I77" s="214"/>
      <c r="J77" s="214"/>
      <c r="K77" s="214"/>
      <c r="L77" s="214"/>
      <c r="M77" s="214"/>
      <c r="N77" s="214"/>
      <c r="O77" s="214"/>
      <c r="P77" s="214"/>
      <c r="Q77" s="214"/>
      <c r="R77" s="215"/>
      <c r="S77" s="224"/>
      <c r="T77" s="224"/>
      <c r="U77" s="224"/>
      <c r="V77" s="224"/>
      <c r="W77" s="224"/>
      <c r="X77" s="224"/>
      <c r="Y77" s="224"/>
      <c r="Z77" s="224"/>
      <c r="AA77" s="224"/>
      <c r="AB77" s="224"/>
      <c r="AC77" s="224"/>
      <c r="AD77" s="224"/>
      <c r="AE77" s="224"/>
      <c r="AF77" s="224"/>
      <c r="AG77" s="224"/>
      <c r="AH77" s="224"/>
      <c r="AI77" s="224"/>
      <c r="AJ77" s="224"/>
      <c r="AK77" s="224"/>
      <c r="AL77" s="224"/>
      <c r="AM77" s="224"/>
      <c r="AN77" s="224"/>
      <c r="AO77" s="224"/>
      <c r="AP77" s="224"/>
    </row>
    <row r="78" spans="1:42" s="211" customFormat="1">
      <c r="A78" s="224"/>
      <c r="B78" s="224"/>
      <c r="C78" s="387"/>
      <c r="D78" s="216"/>
      <c r="R78" s="217"/>
      <c r="S78" s="224"/>
      <c r="T78" s="224"/>
      <c r="U78" s="224"/>
      <c r="V78" s="224"/>
      <c r="W78" s="224"/>
      <c r="X78" s="224"/>
      <c r="Y78" s="224"/>
      <c r="Z78" s="224"/>
      <c r="AA78" s="224"/>
      <c r="AB78" s="224"/>
      <c r="AC78" s="224"/>
      <c r="AD78" s="224"/>
      <c r="AE78" s="224"/>
      <c r="AF78" s="224"/>
      <c r="AG78" s="224"/>
      <c r="AH78" s="224"/>
      <c r="AI78" s="224"/>
      <c r="AJ78" s="224"/>
      <c r="AK78" s="224"/>
      <c r="AL78" s="224"/>
      <c r="AM78" s="224"/>
      <c r="AN78" s="224"/>
      <c r="AO78" s="224"/>
      <c r="AP78" s="224"/>
    </row>
    <row r="79" spans="1:42" s="211" customFormat="1">
      <c r="A79" s="224"/>
      <c r="B79" s="224"/>
      <c r="C79" s="388"/>
      <c r="D79" s="218"/>
      <c r="E79" s="219"/>
      <c r="F79" s="219"/>
      <c r="G79" s="219"/>
      <c r="H79" s="219"/>
      <c r="I79" s="219"/>
      <c r="J79" s="219"/>
      <c r="K79" s="219"/>
      <c r="L79" s="219"/>
      <c r="M79" s="219"/>
      <c r="N79" s="219"/>
      <c r="O79" s="219"/>
      <c r="P79" s="219"/>
      <c r="Q79" s="219"/>
      <c r="R79" s="220"/>
      <c r="S79" s="224"/>
      <c r="T79" s="224"/>
      <c r="U79" s="224"/>
      <c r="V79" s="224"/>
      <c r="W79" s="224"/>
      <c r="X79" s="224"/>
      <c r="Y79" s="224"/>
      <c r="Z79" s="224"/>
      <c r="AA79" s="224"/>
      <c r="AB79" s="224"/>
      <c r="AC79" s="224"/>
      <c r="AD79" s="224"/>
      <c r="AE79" s="224"/>
      <c r="AF79" s="224"/>
      <c r="AG79" s="224"/>
      <c r="AH79" s="224"/>
      <c r="AI79" s="224"/>
      <c r="AJ79" s="224"/>
      <c r="AK79" s="224"/>
      <c r="AL79" s="224"/>
      <c r="AM79" s="224"/>
      <c r="AN79" s="224"/>
      <c r="AO79" s="224"/>
      <c r="AP79" s="224"/>
    </row>
    <row r="80" spans="1:42" s="211" customFormat="1">
      <c r="A80" s="224"/>
      <c r="B80" s="224"/>
      <c r="C80" s="386" t="s">
        <v>236</v>
      </c>
      <c r="D80" s="214"/>
      <c r="E80" s="214"/>
      <c r="F80" s="214"/>
      <c r="G80" s="214"/>
      <c r="H80" s="214"/>
      <c r="I80" s="214"/>
      <c r="J80" s="214"/>
      <c r="K80" s="214"/>
      <c r="L80" s="214"/>
      <c r="M80" s="214"/>
      <c r="N80" s="214"/>
      <c r="O80" s="214"/>
      <c r="P80" s="214"/>
      <c r="Q80" s="214"/>
      <c r="R80" s="215"/>
      <c r="S80" s="224"/>
      <c r="T80" s="224"/>
      <c r="U80" s="224"/>
      <c r="V80" s="224"/>
      <c r="W80" s="224"/>
      <c r="X80" s="224"/>
      <c r="Y80" s="224"/>
      <c r="Z80" s="224"/>
      <c r="AA80" s="224"/>
      <c r="AB80" s="224"/>
      <c r="AC80" s="224"/>
      <c r="AD80" s="224"/>
      <c r="AE80" s="224"/>
      <c r="AF80" s="224"/>
      <c r="AG80" s="224"/>
      <c r="AH80" s="224"/>
      <c r="AI80" s="224"/>
      <c r="AJ80" s="224"/>
      <c r="AK80" s="224"/>
      <c r="AL80" s="224"/>
      <c r="AM80" s="224"/>
      <c r="AN80" s="224"/>
      <c r="AO80" s="224"/>
      <c r="AP80" s="224"/>
    </row>
    <row r="81" spans="1:42" s="211" customFormat="1">
      <c r="A81" s="224"/>
      <c r="B81" s="224"/>
      <c r="C81" s="387"/>
      <c r="R81" s="217"/>
      <c r="S81" s="224"/>
      <c r="T81" s="224"/>
      <c r="U81" s="224"/>
      <c r="V81" s="224"/>
      <c r="W81" s="224"/>
      <c r="X81" s="224"/>
      <c r="Y81" s="224"/>
      <c r="Z81" s="224"/>
      <c r="AA81" s="224"/>
      <c r="AB81" s="224"/>
      <c r="AC81" s="224"/>
      <c r="AD81" s="224"/>
      <c r="AE81" s="224"/>
      <c r="AF81" s="224"/>
      <c r="AG81" s="224"/>
      <c r="AH81" s="224"/>
      <c r="AI81" s="224"/>
      <c r="AJ81" s="224"/>
      <c r="AK81" s="224"/>
      <c r="AL81" s="224"/>
      <c r="AM81" s="224"/>
      <c r="AN81" s="224"/>
      <c r="AO81" s="224"/>
      <c r="AP81" s="224"/>
    </row>
    <row r="82" spans="1:42" s="211" customFormat="1">
      <c r="A82" s="224"/>
      <c r="B82" s="224"/>
      <c r="C82" s="388"/>
      <c r="D82" s="219"/>
      <c r="E82" s="219"/>
      <c r="F82" s="219"/>
      <c r="G82" s="219"/>
      <c r="H82" s="219"/>
      <c r="I82" s="219"/>
      <c r="J82" s="219"/>
      <c r="K82" s="219"/>
      <c r="L82" s="219"/>
      <c r="M82" s="219"/>
      <c r="N82" s="219"/>
      <c r="O82" s="219"/>
      <c r="P82" s="219"/>
      <c r="Q82" s="219"/>
      <c r="R82" s="220"/>
      <c r="S82" s="224"/>
      <c r="T82" s="224"/>
      <c r="U82" s="224"/>
      <c r="V82" s="224"/>
      <c r="W82" s="224"/>
      <c r="X82" s="224"/>
      <c r="Y82" s="224"/>
      <c r="Z82" s="224"/>
      <c r="AA82" s="224"/>
      <c r="AB82" s="224"/>
      <c r="AC82" s="224"/>
      <c r="AD82" s="224"/>
      <c r="AE82" s="224"/>
      <c r="AF82" s="224"/>
      <c r="AG82" s="224"/>
      <c r="AH82" s="224"/>
      <c r="AI82" s="224"/>
      <c r="AJ82" s="224"/>
      <c r="AK82" s="224"/>
      <c r="AL82" s="224"/>
      <c r="AM82" s="224"/>
      <c r="AN82" s="224"/>
      <c r="AO82" s="224"/>
      <c r="AP82" s="224"/>
    </row>
    <row r="83" spans="1:42" s="211" customFormat="1">
      <c r="A83" s="224"/>
      <c r="B83" s="224"/>
      <c r="C83" s="386" t="s">
        <v>237</v>
      </c>
      <c r="D83" s="214"/>
      <c r="E83" s="214"/>
      <c r="F83" s="214"/>
      <c r="G83" s="214"/>
      <c r="H83" s="214"/>
      <c r="I83" s="214"/>
      <c r="J83" s="214"/>
      <c r="K83" s="214"/>
      <c r="L83" s="214"/>
      <c r="M83" s="214"/>
      <c r="N83" s="214"/>
      <c r="O83" s="214"/>
      <c r="P83" s="214"/>
      <c r="Q83" s="214"/>
      <c r="R83" s="215"/>
      <c r="S83" s="224"/>
      <c r="T83" s="224"/>
      <c r="U83" s="224"/>
      <c r="V83" s="224"/>
      <c r="W83" s="224"/>
      <c r="X83" s="224"/>
      <c r="Y83" s="224"/>
      <c r="Z83" s="224"/>
      <c r="AA83" s="224"/>
      <c r="AB83" s="224"/>
      <c r="AC83" s="224"/>
      <c r="AD83" s="224"/>
      <c r="AE83" s="224"/>
      <c r="AF83" s="224"/>
      <c r="AG83" s="224"/>
      <c r="AH83" s="224"/>
      <c r="AI83" s="224"/>
      <c r="AJ83" s="224"/>
      <c r="AK83" s="224"/>
      <c r="AL83" s="224"/>
      <c r="AM83" s="224"/>
      <c r="AN83" s="224"/>
      <c r="AO83" s="224"/>
      <c r="AP83" s="224"/>
    </row>
    <row r="84" spans="1:42" s="211" customFormat="1">
      <c r="A84" s="224"/>
      <c r="B84" s="224"/>
      <c r="C84" s="387"/>
      <c r="R84" s="217"/>
      <c r="S84" s="224"/>
      <c r="T84" s="224"/>
      <c r="U84" s="224"/>
      <c r="V84" s="224"/>
      <c r="W84" s="224"/>
      <c r="X84" s="224"/>
      <c r="Y84" s="224"/>
      <c r="Z84" s="224"/>
      <c r="AA84" s="224"/>
      <c r="AB84" s="224"/>
      <c r="AC84" s="224"/>
      <c r="AD84" s="224"/>
      <c r="AE84" s="224"/>
      <c r="AF84" s="224"/>
      <c r="AG84" s="224"/>
      <c r="AH84" s="224"/>
      <c r="AI84" s="224"/>
      <c r="AJ84" s="224"/>
      <c r="AK84" s="224"/>
      <c r="AL84" s="224"/>
      <c r="AM84" s="224"/>
      <c r="AN84" s="224"/>
      <c r="AO84" s="224"/>
      <c r="AP84" s="224"/>
    </row>
    <row r="85" spans="1:42" s="211" customFormat="1">
      <c r="A85" s="224"/>
      <c r="B85" s="224"/>
      <c r="C85" s="388"/>
      <c r="D85" s="219"/>
      <c r="E85" s="219"/>
      <c r="F85" s="219"/>
      <c r="G85" s="219"/>
      <c r="H85" s="219"/>
      <c r="I85" s="219"/>
      <c r="J85" s="219"/>
      <c r="K85" s="219"/>
      <c r="L85" s="219"/>
      <c r="M85" s="219"/>
      <c r="N85" s="219"/>
      <c r="O85" s="219"/>
      <c r="P85" s="219"/>
      <c r="Q85" s="219"/>
      <c r="R85" s="220"/>
      <c r="S85" s="224"/>
      <c r="T85" s="224"/>
      <c r="U85" s="224"/>
      <c r="V85" s="224"/>
      <c r="W85" s="224"/>
      <c r="X85" s="224"/>
      <c r="Y85" s="224"/>
      <c r="Z85" s="224"/>
      <c r="AA85" s="224"/>
      <c r="AB85" s="224"/>
      <c r="AC85" s="224"/>
      <c r="AD85" s="224"/>
      <c r="AE85" s="224"/>
      <c r="AF85" s="224"/>
      <c r="AG85" s="224"/>
      <c r="AH85" s="224"/>
      <c r="AI85" s="224"/>
      <c r="AJ85" s="224"/>
      <c r="AK85" s="224"/>
      <c r="AL85" s="224"/>
      <c r="AM85" s="224"/>
      <c r="AN85" s="224"/>
      <c r="AO85" s="224"/>
      <c r="AP85" s="224"/>
    </row>
    <row r="86" spans="1:42" s="211" customFormat="1">
      <c r="A86" s="224"/>
      <c r="B86" s="224"/>
      <c r="C86" s="386" t="s">
        <v>238</v>
      </c>
      <c r="D86" s="214"/>
      <c r="E86" s="214"/>
      <c r="F86" s="214"/>
      <c r="G86" s="214"/>
      <c r="H86" s="214"/>
      <c r="I86" s="214"/>
      <c r="J86" s="214"/>
      <c r="K86" s="214"/>
      <c r="L86" s="214"/>
      <c r="M86" s="214"/>
      <c r="N86" s="214"/>
      <c r="O86" s="214"/>
      <c r="P86" s="214"/>
      <c r="Q86" s="214"/>
      <c r="R86" s="215"/>
      <c r="S86" s="224"/>
      <c r="T86" s="224"/>
      <c r="U86" s="224"/>
      <c r="V86" s="224"/>
      <c r="W86" s="224"/>
      <c r="X86" s="224"/>
      <c r="Y86" s="224"/>
      <c r="Z86" s="224"/>
      <c r="AA86" s="224"/>
      <c r="AB86" s="224"/>
      <c r="AC86" s="224"/>
      <c r="AD86" s="224"/>
      <c r="AE86" s="224"/>
      <c r="AF86" s="224"/>
      <c r="AG86" s="224"/>
      <c r="AH86" s="224"/>
      <c r="AI86" s="224"/>
      <c r="AJ86" s="224"/>
      <c r="AK86" s="224"/>
      <c r="AL86" s="224"/>
      <c r="AM86" s="224"/>
      <c r="AN86" s="224"/>
      <c r="AO86" s="224"/>
      <c r="AP86" s="224"/>
    </row>
    <row r="87" spans="1:42" s="211" customFormat="1">
      <c r="A87" s="224"/>
      <c r="B87" s="224"/>
      <c r="C87" s="387"/>
      <c r="R87" s="217"/>
      <c r="S87" s="224"/>
      <c r="T87" s="224"/>
      <c r="U87" s="224"/>
      <c r="V87" s="224"/>
      <c r="W87" s="224"/>
      <c r="X87" s="224"/>
      <c r="Y87" s="224"/>
      <c r="Z87" s="224"/>
      <c r="AA87" s="224"/>
      <c r="AB87" s="224"/>
      <c r="AC87" s="224"/>
      <c r="AD87" s="224"/>
      <c r="AE87" s="224"/>
      <c r="AF87" s="224"/>
      <c r="AG87" s="224"/>
      <c r="AH87" s="224"/>
      <c r="AI87" s="224"/>
      <c r="AJ87" s="224"/>
      <c r="AK87" s="224"/>
      <c r="AL87" s="224"/>
      <c r="AM87" s="224"/>
      <c r="AN87" s="224"/>
      <c r="AO87" s="224"/>
      <c r="AP87" s="224"/>
    </row>
    <row r="88" spans="1:42" s="211" customFormat="1">
      <c r="A88" s="224"/>
      <c r="B88" s="224"/>
      <c r="C88" s="388"/>
      <c r="D88" s="219"/>
      <c r="E88" s="219"/>
      <c r="F88" s="219"/>
      <c r="G88" s="219"/>
      <c r="H88" s="219"/>
      <c r="I88" s="219"/>
      <c r="J88" s="219"/>
      <c r="K88" s="219"/>
      <c r="L88" s="219"/>
      <c r="M88" s="219"/>
      <c r="N88" s="219"/>
      <c r="O88" s="219"/>
      <c r="P88" s="219"/>
      <c r="Q88" s="219"/>
      <c r="R88" s="220"/>
      <c r="S88" s="224"/>
      <c r="T88" s="224"/>
      <c r="U88" s="224"/>
      <c r="V88" s="224"/>
      <c r="W88" s="224"/>
      <c r="X88" s="224"/>
      <c r="Y88" s="224"/>
      <c r="Z88" s="224"/>
      <c r="AA88" s="224"/>
      <c r="AB88" s="224"/>
      <c r="AC88" s="224"/>
      <c r="AD88" s="224"/>
      <c r="AE88" s="224"/>
      <c r="AF88" s="224"/>
      <c r="AG88" s="224"/>
      <c r="AH88" s="224"/>
      <c r="AI88" s="224"/>
      <c r="AJ88" s="224"/>
      <c r="AK88" s="224"/>
      <c r="AL88" s="224"/>
      <c r="AM88" s="224"/>
      <c r="AN88" s="224"/>
      <c r="AO88" s="224"/>
      <c r="AP88" s="224"/>
    </row>
    <row r="89" spans="1:42" s="211" customFormat="1">
      <c r="A89" s="224"/>
      <c r="B89" s="224"/>
      <c r="C89" s="386" t="s">
        <v>239</v>
      </c>
      <c r="D89" s="214"/>
      <c r="E89" s="214"/>
      <c r="F89" s="214"/>
      <c r="G89" s="214"/>
      <c r="H89" s="214"/>
      <c r="I89" s="214"/>
      <c r="J89" s="214"/>
      <c r="K89" s="214"/>
      <c r="L89" s="214"/>
      <c r="M89" s="214"/>
      <c r="N89" s="214"/>
      <c r="O89" s="214"/>
      <c r="P89" s="214"/>
      <c r="Q89" s="214"/>
      <c r="R89" s="215"/>
      <c r="S89" s="224"/>
      <c r="T89" s="224"/>
      <c r="U89" s="224"/>
      <c r="V89" s="224"/>
      <c r="W89" s="224"/>
      <c r="X89" s="224"/>
      <c r="Y89" s="224"/>
      <c r="Z89" s="224"/>
      <c r="AA89" s="224"/>
      <c r="AB89" s="224"/>
      <c r="AC89" s="224"/>
      <c r="AD89" s="224"/>
      <c r="AE89" s="224"/>
      <c r="AF89" s="224"/>
      <c r="AG89" s="224"/>
      <c r="AH89" s="224"/>
      <c r="AI89" s="224"/>
      <c r="AJ89" s="224"/>
      <c r="AK89" s="224"/>
      <c r="AL89" s="224"/>
      <c r="AM89" s="224"/>
      <c r="AN89" s="224"/>
      <c r="AO89" s="224"/>
      <c r="AP89" s="224"/>
    </row>
    <row r="90" spans="1:42" s="211" customFormat="1">
      <c r="A90" s="224"/>
      <c r="B90" s="224"/>
      <c r="C90" s="387"/>
      <c r="R90" s="217"/>
      <c r="S90" s="224"/>
      <c r="T90" s="224"/>
      <c r="U90" s="224"/>
      <c r="V90" s="224"/>
      <c r="W90" s="224"/>
      <c r="X90" s="224"/>
      <c r="Y90" s="224"/>
      <c r="Z90" s="224"/>
      <c r="AA90" s="224"/>
      <c r="AB90" s="224"/>
      <c r="AC90" s="224"/>
      <c r="AD90" s="224"/>
      <c r="AE90" s="224"/>
      <c r="AF90" s="224"/>
      <c r="AG90" s="224"/>
      <c r="AH90" s="224"/>
      <c r="AI90" s="224"/>
      <c r="AJ90" s="224"/>
      <c r="AK90" s="224"/>
      <c r="AL90" s="224"/>
      <c r="AM90" s="224"/>
      <c r="AN90" s="224"/>
      <c r="AO90" s="224"/>
      <c r="AP90" s="224"/>
    </row>
    <row r="91" spans="1:42" s="211" customFormat="1">
      <c r="A91" s="224"/>
      <c r="B91" s="224"/>
      <c r="C91" s="387"/>
      <c r="R91" s="217"/>
      <c r="S91" s="224"/>
      <c r="T91" s="224"/>
      <c r="U91" s="224"/>
      <c r="V91" s="224"/>
      <c r="W91" s="224"/>
      <c r="X91" s="224"/>
      <c r="Y91" s="224"/>
      <c r="Z91" s="224"/>
      <c r="AA91" s="224"/>
      <c r="AB91" s="224"/>
      <c r="AC91" s="224"/>
      <c r="AD91" s="224"/>
      <c r="AE91" s="224"/>
      <c r="AF91" s="224"/>
      <c r="AG91" s="224"/>
      <c r="AH91" s="224"/>
      <c r="AI91" s="224"/>
      <c r="AJ91" s="224"/>
      <c r="AK91" s="224"/>
      <c r="AL91" s="224"/>
      <c r="AM91" s="224"/>
      <c r="AN91" s="224"/>
      <c r="AO91" s="224"/>
      <c r="AP91" s="224"/>
    </row>
    <row r="92" spans="1:42" s="211" customFormat="1">
      <c r="A92" s="224"/>
      <c r="B92" s="224"/>
      <c r="C92" s="387"/>
      <c r="R92" s="217"/>
      <c r="S92" s="224"/>
      <c r="T92" s="224"/>
      <c r="U92" s="224"/>
      <c r="V92" s="224"/>
      <c r="W92" s="224"/>
      <c r="X92" s="224"/>
      <c r="Y92" s="224"/>
      <c r="Z92" s="224"/>
      <c r="AA92" s="224"/>
      <c r="AB92" s="224"/>
      <c r="AC92" s="224"/>
      <c r="AD92" s="224"/>
      <c r="AE92" s="224"/>
      <c r="AF92" s="224"/>
      <c r="AG92" s="224"/>
      <c r="AH92" s="224"/>
      <c r="AI92" s="224"/>
      <c r="AJ92" s="224"/>
      <c r="AK92" s="224"/>
      <c r="AL92" s="224"/>
      <c r="AM92" s="224"/>
      <c r="AN92" s="224"/>
      <c r="AO92" s="224"/>
      <c r="AP92" s="224"/>
    </row>
    <row r="93" spans="1:42" s="211" customFormat="1">
      <c r="A93" s="224"/>
      <c r="B93" s="224"/>
      <c r="C93" s="388"/>
      <c r="D93" s="219"/>
      <c r="E93" s="219"/>
      <c r="F93" s="219"/>
      <c r="G93" s="219"/>
      <c r="H93" s="219"/>
      <c r="I93" s="219"/>
      <c r="J93" s="219"/>
      <c r="K93" s="219"/>
      <c r="L93" s="219"/>
      <c r="M93" s="219"/>
      <c r="N93" s="219"/>
      <c r="O93" s="219"/>
      <c r="P93" s="219"/>
      <c r="Q93" s="219"/>
      <c r="R93" s="220"/>
      <c r="S93" s="224"/>
      <c r="T93" s="224"/>
      <c r="U93" s="224"/>
      <c r="V93" s="224"/>
      <c r="W93" s="224"/>
      <c r="X93" s="224"/>
      <c r="Y93" s="224"/>
      <c r="Z93" s="224"/>
      <c r="AA93" s="224"/>
      <c r="AB93" s="224"/>
      <c r="AC93" s="224"/>
      <c r="AD93" s="224"/>
      <c r="AE93" s="224"/>
      <c r="AF93" s="224"/>
      <c r="AG93" s="224"/>
      <c r="AH93" s="224"/>
      <c r="AI93" s="224"/>
      <c r="AJ93" s="224"/>
      <c r="AK93" s="224"/>
      <c r="AL93" s="224"/>
      <c r="AM93" s="224"/>
      <c r="AN93" s="224"/>
      <c r="AO93" s="224"/>
      <c r="AP93" s="224"/>
    </row>
    <row r="94" spans="1:42" s="224" customFormat="1"/>
    <row r="95" spans="1:42" s="224" customFormat="1"/>
    <row r="96" spans="1:42" s="224" customFormat="1"/>
    <row r="97" s="224" customFormat="1"/>
    <row r="98" s="224" customFormat="1"/>
    <row r="99" s="224" customFormat="1"/>
    <row r="100" s="224" customFormat="1"/>
    <row r="101" s="224" customFormat="1"/>
    <row r="102" s="224" customFormat="1"/>
    <row r="103" s="224" customFormat="1"/>
    <row r="104" s="224" customFormat="1"/>
    <row r="105" s="224" customFormat="1"/>
    <row r="106" s="224" customFormat="1"/>
    <row r="107" s="224" customFormat="1"/>
    <row r="108" s="224" customFormat="1"/>
    <row r="109" s="224" customFormat="1"/>
    <row r="110" s="224" customFormat="1"/>
    <row r="111" s="224" customFormat="1"/>
    <row r="112" s="224" customFormat="1"/>
    <row r="113" s="224" customFormat="1"/>
    <row r="114" s="224" customFormat="1"/>
    <row r="115" s="224" customFormat="1"/>
    <row r="116" s="224" customFormat="1"/>
    <row r="117" s="224" customFormat="1"/>
    <row r="118" s="224" customFormat="1"/>
    <row r="119" s="224" customFormat="1"/>
    <row r="120" s="224" customFormat="1"/>
    <row r="121" s="224" customFormat="1"/>
    <row r="122" s="224" customFormat="1"/>
    <row r="123" s="224" customFormat="1"/>
    <row r="124" s="224" customFormat="1"/>
    <row r="125" s="224" customFormat="1"/>
    <row r="126" s="224" customFormat="1"/>
    <row r="127" s="224" customFormat="1"/>
    <row r="128" s="224" customFormat="1"/>
    <row r="129" s="224" customFormat="1"/>
    <row r="130" s="224" customFormat="1"/>
    <row r="131" s="224" customFormat="1"/>
    <row r="132" s="224" customFormat="1"/>
    <row r="133" s="224" customFormat="1"/>
    <row r="134" s="224" customFormat="1"/>
    <row r="135" s="224" customFormat="1"/>
    <row r="136" s="224" customFormat="1"/>
    <row r="137" s="224" customFormat="1"/>
    <row r="138" s="224" customFormat="1"/>
    <row r="139" s="224" customFormat="1"/>
    <row r="140" s="224" customFormat="1"/>
    <row r="141" s="224" customFormat="1"/>
    <row r="142" s="224" customFormat="1"/>
    <row r="143" s="224" customFormat="1"/>
    <row r="144" s="224" customFormat="1"/>
    <row r="145" s="224" customFormat="1"/>
    <row r="146" s="224" customFormat="1"/>
    <row r="147" s="224" customFormat="1"/>
    <row r="148" s="224" customFormat="1"/>
    <row r="149" s="224" customFormat="1"/>
    <row r="150" s="224" customFormat="1"/>
    <row r="151" s="224" customFormat="1"/>
    <row r="152" s="224" customFormat="1"/>
    <row r="153" s="224" customFormat="1"/>
    <row r="154" s="224" customFormat="1"/>
    <row r="155" s="224" customFormat="1"/>
    <row r="156" s="224" customFormat="1"/>
    <row r="157" s="224" customFormat="1"/>
    <row r="158" s="224" customFormat="1"/>
    <row r="159" s="224" customFormat="1"/>
    <row r="160" s="224" customFormat="1"/>
    <row r="161" spans="1:42" s="224" customFormat="1"/>
    <row r="162" spans="1:42" s="224" customFormat="1"/>
    <row r="163" spans="1:42" s="224" customFormat="1"/>
    <row r="164" spans="1:42" s="224" customFormat="1"/>
    <row r="165" spans="1:42" s="224" customFormat="1"/>
    <row r="166" spans="1:42" s="211" customFormat="1">
      <c r="A166" s="224"/>
      <c r="B166" s="224"/>
      <c r="S166" s="224"/>
      <c r="T166" s="224"/>
      <c r="U166" s="224"/>
      <c r="V166" s="224"/>
      <c r="W166" s="224"/>
      <c r="X166" s="224"/>
      <c r="Y166" s="224"/>
      <c r="Z166" s="224"/>
      <c r="AA166" s="224"/>
      <c r="AB166" s="224"/>
      <c r="AC166" s="224"/>
      <c r="AD166" s="224"/>
      <c r="AE166" s="224"/>
      <c r="AF166" s="224"/>
      <c r="AG166" s="224"/>
      <c r="AH166" s="224"/>
      <c r="AI166" s="224"/>
      <c r="AJ166" s="224"/>
      <c r="AK166" s="224"/>
      <c r="AL166" s="224"/>
      <c r="AM166" s="224"/>
      <c r="AN166" s="224"/>
      <c r="AO166" s="224"/>
      <c r="AP166" s="224"/>
    </row>
    <row r="167" spans="1:42" s="211" customFormat="1">
      <c r="A167" s="224"/>
      <c r="B167" s="224"/>
      <c r="S167" s="224"/>
      <c r="T167" s="224"/>
      <c r="U167" s="224"/>
      <c r="V167" s="224"/>
      <c r="W167" s="224"/>
      <c r="X167" s="224"/>
      <c r="Y167" s="224"/>
      <c r="Z167" s="224"/>
      <c r="AA167" s="224"/>
      <c r="AB167" s="224"/>
      <c r="AC167" s="224"/>
      <c r="AD167" s="224"/>
      <c r="AE167" s="224"/>
      <c r="AF167" s="224"/>
      <c r="AG167" s="224"/>
      <c r="AH167" s="224"/>
      <c r="AI167" s="224"/>
      <c r="AJ167" s="224"/>
      <c r="AK167" s="224"/>
      <c r="AL167" s="224"/>
      <c r="AM167" s="224"/>
      <c r="AN167" s="224"/>
      <c r="AO167" s="224"/>
      <c r="AP167" s="224"/>
    </row>
    <row r="168" spans="1:42" s="211" customFormat="1">
      <c r="A168" s="224"/>
      <c r="B168" s="224"/>
      <c r="S168" s="224"/>
      <c r="T168" s="224"/>
      <c r="U168" s="224"/>
      <c r="V168" s="224"/>
      <c r="W168" s="224"/>
      <c r="X168" s="224"/>
      <c r="Y168" s="224"/>
      <c r="Z168" s="224"/>
      <c r="AA168" s="224"/>
      <c r="AB168" s="224"/>
      <c r="AC168" s="224"/>
      <c r="AD168" s="224"/>
      <c r="AE168" s="224"/>
      <c r="AF168" s="224"/>
      <c r="AG168" s="224"/>
      <c r="AH168" s="224"/>
      <c r="AI168" s="224"/>
      <c r="AJ168" s="224"/>
      <c r="AK168" s="224"/>
      <c r="AL168" s="224"/>
      <c r="AM168" s="224"/>
      <c r="AN168" s="224"/>
      <c r="AO168" s="224"/>
      <c r="AP168" s="224"/>
    </row>
    <row r="169" spans="1:42" s="211" customFormat="1">
      <c r="A169" s="224"/>
      <c r="B169" s="224"/>
      <c r="S169" s="224"/>
      <c r="T169" s="224"/>
      <c r="U169" s="224"/>
      <c r="V169" s="224"/>
      <c r="W169" s="224"/>
      <c r="X169" s="224"/>
      <c r="Y169" s="224"/>
      <c r="Z169" s="224"/>
      <c r="AA169" s="224"/>
      <c r="AB169" s="224"/>
      <c r="AC169" s="224"/>
      <c r="AD169" s="224"/>
      <c r="AE169" s="224"/>
      <c r="AF169" s="224"/>
      <c r="AG169" s="224"/>
      <c r="AH169" s="224"/>
      <c r="AI169" s="224"/>
      <c r="AJ169" s="224"/>
      <c r="AK169" s="224"/>
      <c r="AL169" s="224"/>
      <c r="AM169" s="224"/>
      <c r="AN169" s="224"/>
      <c r="AO169" s="224"/>
      <c r="AP169" s="224"/>
    </row>
    <row r="170" spans="1:42" s="211" customFormat="1">
      <c r="A170" s="224"/>
      <c r="B170" s="224"/>
      <c r="S170" s="224"/>
      <c r="T170" s="224"/>
      <c r="U170" s="224"/>
      <c r="V170" s="224"/>
      <c r="W170" s="224"/>
      <c r="X170" s="224"/>
      <c r="Y170" s="224"/>
      <c r="Z170" s="224"/>
      <c r="AA170" s="224"/>
      <c r="AB170" s="224"/>
      <c r="AC170" s="224"/>
      <c r="AD170" s="224"/>
      <c r="AE170" s="224"/>
      <c r="AF170" s="224"/>
      <c r="AG170" s="224"/>
      <c r="AH170" s="224"/>
      <c r="AI170" s="224"/>
      <c r="AJ170" s="224"/>
      <c r="AK170" s="224"/>
      <c r="AL170" s="224"/>
      <c r="AM170" s="224"/>
      <c r="AN170" s="224"/>
      <c r="AO170" s="224"/>
      <c r="AP170" s="224"/>
    </row>
    <row r="171" spans="1:42" s="211" customFormat="1">
      <c r="A171" s="224"/>
      <c r="B171" s="224"/>
      <c r="S171" s="224"/>
      <c r="T171" s="224"/>
      <c r="U171" s="224"/>
      <c r="V171" s="224"/>
      <c r="W171" s="224"/>
      <c r="X171" s="224"/>
      <c r="Y171" s="224"/>
      <c r="Z171" s="224"/>
      <c r="AA171" s="224"/>
      <c r="AB171" s="224"/>
      <c r="AC171" s="224"/>
      <c r="AD171" s="224"/>
      <c r="AE171" s="224"/>
      <c r="AF171" s="224"/>
      <c r="AG171" s="224"/>
      <c r="AH171" s="224"/>
      <c r="AI171" s="224"/>
      <c r="AJ171" s="224"/>
      <c r="AK171" s="224"/>
      <c r="AL171" s="224"/>
      <c r="AM171" s="224"/>
      <c r="AN171" s="224"/>
      <c r="AO171" s="224"/>
      <c r="AP171" s="224"/>
    </row>
  </sheetData>
  <mergeCells count="18">
    <mergeCell ref="E59:G59"/>
    <mergeCell ref="M59:R59"/>
    <mergeCell ref="X2:Y2"/>
    <mergeCell ref="T5:AA20"/>
    <mergeCell ref="T3:AA4"/>
    <mergeCell ref="C89:C93"/>
    <mergeCell ref="C74:R74"/>
    <mergeCell ref="C77:C79"/>
    <mergeCell ref="C80:C82"/>
    <mergeCell ref="C83:C85"/>
    <mergeCell ref="C86:C88"/>
    <mergeCell ref="C64:R64"/>
    <mergeCell ref="H59:L59"/>
    <mergeCell ref="C59:D59"/>
    <mergeCell ref="C2:R2"/>
    <mergeCell ref="C21:R21"/>
    <mergeCell ref="C37:R37"/>
    <mergeCell ref="C57:R57"/>
  </mergeCell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type="column" displayEmptyCellsAs="gap" xr2:uid="{D5811EC3-A10C-416B-9AE7-5B37736A6DA2}">
          <x14:colorSeries rgb="FF376092"/>
          <x14:colorNegative rgb="FFD00000"/>
          <x14:colorAxis rgb="FF000000"/>
          <x14:colorMarkers rgb="FFD00000"/>
          <x14:colorFirst rgb="FFD00000"/>
          <x14:colorLast rgb="FFD00000"/>
          <x14:colorHigh rgb="FFD00000"/>
          <x14:colorLow rgb="FFD00000"/>
          <x14:sparklines>
            <x14:sparkline>
              <xm:f>'Indicadores  '!D24:G24</xm:f>
              <xm:sqref>O62</xm:sqref>
            </x14:sparkline>
          </x14:sparklines>
        </x14:sparklineGroup>
        <x14:sparklineGroup type="column" displayEmptyCellsAs="gap" xr2:uid="{D9AC2DFC-659B-441C-AB83-B2B1EE1F9DE7}">
          <x14:colorSeries rgb="FF376092"/>
          <x14:colorNegative rgb="FFD00000"/>
          <x14:colorAxis rgb="FF000000"/>
          <x14:colorMarkers rgb="FFD00000"/>
          <x14:colorFirst rgb="FFD00000"/>
          <x14:colorLast rgb="FFD00000"/>
          <x14:colorHigh rgb="FFD00000"/>
          <x14:colorLow rgb="FFD00000"/>
          <x14:sparklines>
            <x14:sparkline>
              <xm:f>'Indicadores  '!E21:G21</xm:f>
              <xm:sqref>Q60</xm:sqref>
            </x14:sparkline>
          </x14:sparklines>
        </x14:sparklineGroup>
        <x14:sparklineGroup type="column" displayEmptyCellsAs="gap" xr2:uid="{78DB268D-D2BB-4D18-B3B3-EBFDBBC0CAF0}">
          <x14:colorSeries rgb="FF376092"/>
          <x14:colorNegative rgb="FFD00000"/>
          <x14:colorAxis rgb="FF000000"/>
          <x14:colorMarkers rgb="FFD00000"/>
          <x14:colorFirst rgb="FFD00000"/>
          <x14:colorLast rgb="FFD00000"/>
          <x14:colorHigh rgb="FFD00000"/>
          <x14:colorLow rgb="FFD00000"/>
          <x14:sparklines>
            <x14:sparkline>
              <xm:f>'Indicadores  '!E18:G18</xm:f>
              <xm:sqref>N60</xm:sqref>
            </x14:sparkline>
          </x14:sparklines>
        </x14:sparklineGroup>
        <x14:sparklineGroup type="column" displayEmptyCellsAs="gap" xr2:uid="{FD34E742-9742-4717-87B3-DBC430A438D4}">
          <x14:colorSeries rgb="FF376092"/>
          <x14:colorNegative rgb="FFD00000"/>
          <x14:colorAxis rgb="FF000000"/>
          <x14:colorMarkers rgb="FFD00000"/>
          <x14:colorFirst rgb="FFD00000"/>
          <x14:colorLast rgb="FFD00000"/>
          <x14:colorHigh rgb="FFD00000"/>
          <x14:colorLow rgb="FFD00000"/>
          <x14:sparklines>
            <x14:sparkline>
              <xm:f>'Indicadores  '!E5:G5</xm:f>
              <xm:sqref>C60</xm:sqref>
            </x14:sparkline>
            <x14:sparkline>
              <xm:f>'Indicadores  '!E6:G6</xm:f>
              <xm:sqref>C61</xm:sqref>
            </x14:sparkline>
            <x14:sparkline>
              <xm:f>'Indicadores  '!E6:G6</xm:f>
              <xm:sqref>C62</xm:sqref>
            </x14:sparkline>
            <x14:sparkline>
              <xm:f>'Indicadores  '!E6:G6</xm:f>
              <xm:sqref>C63</xm:sqref>
            </x14:sparkline>
            <x14:sparkline>
              <xm:f>'Indicadores  '!E7:G7</xm:f>
              <xm:sqref>C65</xm:sqref>
            </x14:sparkline>
            <x14:sparkline>
              <xm:f>'Indicadores  '!E7:G7</xm:f>
              <xm:sqref>C66</xm:sqref>
            </x14:sparkline>
            <x14:sparkline>
              <xm:f>'Indicadores  '!E7:G7</xm:f>
              <xm:sqref>C67</xm:sqref>
            </x14:sparkline>
            <x14:sparkline>
              <xm:f>'Indicadores  '!E7:G7</xm:f>
              <xm:sqref>C68</xm:sqref>
            </x14:sparkline>
          </x14:sparklines>
        </x14:sparklineGroup>
        <x14:sparklineGroup type="column" displayEmptyCellsAs="gap" xr2:uid="{612CC622-00D0-4F10-B216-E5B622196C5A}">
          <x14:colorSeries rgb="FF376092"/>
          <x14:colorNegative rgb="FFD00000"/>
          <x14:colorAxis rgb="FF000000"/>
          <x14:colorMarkers rgb="FFD00000"/>
          <x14:colorFirst rgb="FFD00000"/>
          <x14:colorLast rgb="FFD00000"/>
          <x14:colorHigh rgb="FFD00000"/>
          <x14:colorLow rgb="FFD00000"/>
          <x14:sparklines>
            <x14:sparkline>
              <xm:f>'Indicadores  '!E8:G8</xm:f>
              <xm:sqref>F60</xm:sqref>
            </x14:sparkline>
            <x14:sparkline>
              <xm:f>'Indicadores  '!E9:G9</xm:f>
              <xm:sqref>F61</xm:sqref>
            </x14:sparkline>
            <x14:sparkline>
              <xm:f>'Indicadores  '!E9:G9</xm:f>
              <xm:sqref>F62</xm:sqref>
            </x14:sparkline>
            <x14:sparkline>
              <xm:f>'Indicadores  '!E9:G9</xm:f>
              <xm:sqref>F63</xm:sqref>
            </x14:sparkline>
            <x14:sparkline>
              <xm:f>'Indicadores  '!E10:G10</xm:f>
              <xm:sqref>F65</xm:sqref>
            </x14:sparkline>
            <x14:sparkline>
              <xm:f>'Indicadores  '!E10:G10</xm:f>
              <xm:sqref>F66</xm:sqref>
            </x14:sparkline>
            <x14:sparkline>
              <xm:f>'Indicadores  '!E10:G10</xm:f>
              <xm:sqref>F67</xm:sqref>
            </x14:sparkline>
            <x14:sparkline>
              <xm:f>'Indicadores  '!E10:G10</xm:f>
              <xm:sqref>F68</xm:sqref>
            </x14:sparkline>
          </x14:sparklines>
        </x14:sparklineGroup>
        <x14:sparklineGroup type="column" displayEmptyCellsAs="gap" xr2:uid="{4C9900FD-BBA7-4110-A584-98059313AA71}">
          <x14:colorSeries rgb="FF376092"/>
          <x14:colorNegative rgb="FFD00000"/>
          <x14:colorAxis rgb="FF000000"/>
          <x14:colorMarkers rgb="FFD00000"/>
          <x14:colorFirst rgb="FFD00000"/>
          <x14:colorLast rgb="FFD00000"/>
          <x14:colorHigh rgb="FFD00000"/>
          <x14:colorLow rgb="FFD00000"/>
          <x14:sparklines>
            <x14:sparkline>
              <xm:f>'Indicadores  '!E14:G14</xm:f>
              <xm:sqref>J60</xm:sqref>
            </x14:sparkline>
            <x14:sparkline>
              <xm:f>'Indicadores  '!E15:G15</xm:f>
              <xm:sqref>J61</xm:sqref>
            </x14:sparkline>
            <x14:sparkline>
              <xm:f>'Indicadores  '!E15:G15</xm:f>
              <xm:sqref>J62</xm:sqref>
            </x14:sparkline>
            <x14:sparkline>
              <xm:f>'Indicadores  '!E15:G15</xm:f>
              <xm:sqref>J63</xm:sqref>
            </x14:sparkline>
            <x14:sparkline>
              <xm:f>'Indicadores  '!E16:G16</xm:f>
              <xm:sqref>J65</xm:sqref>
            </x14:sparkline>
            <x14:sparkline>
              <xm:f>'Indicadores  '!E16:G16</xm:f>
              <xm:sqref>J66</xm:sqref>
            </x14:sparkline>
            <x14:sparkline>
              <xm:f>'Indicadores  '!E16:G16</xm:f>
              <xm:sqref>J67</xm:sqref>
            </x14:sparkline>
            <x14:sparkline>
              <xm:f>'Indicadores  '!E16:G16</xm:f>
              <xm:sqref>J68</xm:sqref>
            </x14:sparkline>
          </x14:sparklines>
        </x14:sparklineGroup>
      </x14:sparklineGroup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Idea de negocio</vt:lpstr>
      <vt:lpstr>Direccionamiento estrategico </vt:lpstr>
      <vt:lpstr>Estructura organizacional </vt:lpstr>
      <vt:lpstr>Inversión Inicial</vt:lpstr>
      <vt:lpstr>Financiación</vt:lpstr>
      <vt:lpstr>Costos Variables</vt:lpstr>
      <vt:lpstr>Gastos Fijos</vt:lpstr>
      <vt:lpstr>Punto de Equilibrio</vt:lpstr>
      <vt:lpstr>Ventas</vt:lpstr>
      <vt:lpstr>Estado de Resultados</vt:lpstr>
      <vt:lpstr>Estado de Situación Financiera</vt:lpstr>
      <vt:lpstr>Flujo de Caja</vt:lpstr>
      <vt:lpstr>Indicadores  </vt:lpstr>
      <vt:lpstr>DashBoard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ANDRES GUTIERREZ TOQUICA</dc:creator>
  <cp:lastModifiedBy>Germán Steven Sarmiento Triviño</cp:lastModifiedBy>
  <dcterms:created xsi:type="dcterms:W3CDTF">2018-04-03T00:42:04Z</dcterms:created>
  <dcterms:modified xsi:type="dcterms:W3CDTF">2024-08-23T18:29:40Z</dcterms:modified>
</cp:coreProperties>
</file>