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M3" sheetId="1" r:id="rId4"/>
    <sheet state="visible" name="Beach Cleanup" sheetId="2" r:id="rId5"/>
    <sheet state="visible" name="InfluxTotals" sheetId="3" r:id="rId6"/>
    <sheet state="visible" name="Beach Cleanup PILOT" sheetId="4" r:id="rId7"/>
    <sheet state="visible" name="Pivot Table 2" sheetId="5" r:id="rId8"/>
    <sheet state="visible" name="Summary" sheetId="6" r:id="rId9"/>
    <sheet state="visible" name="Servicios EPA" sheetId="7" r:id="rId10"/>
    <sheet state="visible" name="Playa Blanca" sheetId="8" r:id="rId11"/>
    <sheet state="visible" name="Soliman" sheetId="9" r:id="rId12"/>
    <sheet state="visible" name="Bahia" sheetId="10" r:id="rId13"/>
    <sheet state="visible" name="Bahia2" sheetId="11" r:id="rId14"/>
    <sheet state="visible" name="Fortuna" sheetId="12" r:id="rId15"/>
    <sheet state="visible" name="ROI" sheetId="13" r:id="rId16"/>
    <sheet state="visible" name="WEBSITE Chart" sheetId="14" r:id="rId17"/>
  </sheets>
  <definedNames/>
  <calcPr/>
  <pivotCaches>
    <pivotCache cacheId="0" r:id="rId18"/>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Estimación dudosamente útil, puesto que lo que la cifra que se sacó de la playa en camiones...no garantiza que la playa haya quedado límpia.
	-Iván Penié</t>
      </text>
    </comment>
  </commentList>
</comments>
</file>

<file path=xl/sharedStrings.xml><?xml version="1.0" encoding="utf-8"?>
<sst xmlns="http://schemas.openxmlformats.org/spreadsheetml/2006/main" count="864" uniqueCount="596">
  <si>
    <t>HMB HIZ Sargassum Mitigation Costs</t>
  </si>
  <si>
    <t>(5 year analysis)</t>
  </si>
  <si>
    <t xml:space="preserve"> </t>
  </si>
  <si>
    <t>High</t>
  </si>
  <si>
    <t>Low</t>
  </si>
  <si>
    <t>Median</t>
  </si>
  <si>
    <t>Removal Cost per m3</t>
  </si>
  <si>
    <t>Pesos</t>
  </si>
  <si>
    <t>Sargassum season months</t>
  </si>
  <si>
    <t>Average 2017-2021</t>
  </si>
  <si>
    <t>Average per Month</t>
  </si>
  <si>
    <t>Barrier Efficiency</t>
  </si>
  <si>
    <t xml:space="preserve">Sargassum influx per lot per year m3 </t>
  </si>
  <si>
    <t>Building</t>
  </si>
  <si>
    <t>Lots</t>
  </si>
  <si>
    <t>% of Max influx</t>
  </si>
  <si>
    <t>Total 2017-2021</t>
  </si>
  <si>
    <t>Average Cubic Meters</t>
  </si>
  <si>
    <t>Average Cleanup Cost wo Barrier</t>
  </si>
  <si>
    <t>Average Cleanup Cost w Barrier</t>
  </si>
  <si>
    <t>Barrier Operating Cost</t>
  </si>
  <si>
    <t xml:space="preserve"> Total Average Annual Cost w Barrier</t>
  </si>
  <si>
    <t># Owners</t>
  </si>
  <si>
    <t>Monthly Cost per Owner</t>
  </si>
  <si>
    <t># of Contributing Owners</t>
  </si>
  <si>
    <t>Total Annual Funding (Barrier &amp; Cleanup)</t>
  </si>
  <si>
    <t>Monthly Cost per Contributing Owner</t>
  </si>
  <si>
    <t>Barrier</t>
  </si>
  <si>
    <t>Beach Cleanup</t>
  </si>
  <si>
    <t>Total 4 M3 Truck Loads</t>
  </si>
  <si>
    <t>Avg. Truck Loads /Month</t>
  </si>
  <si>
    <t>Total 75 m3 Containers</t>
  </si>
  <si>
    <t>Rock House, Buena Vida + 2 lots</t>
  </si>
  <si>
    <t>Half Moon Bay Condos</t>
  </si>
  <si>
    <t>Lol Ka'Naab</t>
  </si>
  <si>
    <t>Del Sol Hotel &amp; Condos</t>
  </si>
  <si>
    <t>Playa Blanca</t>
  </si>
  <si>
    <t>Nikte</t>
  </si>
  <si>
    <t>Nikte Ha</t>
  </si>
  <si>
    <t>Playa Caribe</t>
  </si>
  <si>
    <t>Luna Azul</t>
  </si>
  <si>
    <t>The Reef</t>
  </si>
  <si>
    <t>La Bahia</t>
  </si>
  <si>
    <t>Los Flamingos</t>
  </si>
  <si>
    <t>La Joya</t>
  </si>
  <si>
    <t>Casa Fortuna</t>
  </si>
  <si>
    <t>Tan-ik</t>
  </si>
  <si>
    <t>La Tortuga</t>
  </si>
  <si>
    <t>La Mirage</t>
  </si>
  <si>
    <t>Totals</t>
  </si>
  <si>
    <t>La Mirage, Hacienda Tortuga, Condos Tan-ik, Casa Fortuna, La Joya, Villas Flamingos, La Bahia, The Reef, Luna Azul, Playa Caribe, Nikte Ha, Nikte, Playa Blanca, Del Sol Condos Norte, Lo Ka'naab, Half Moon Bay Condos, and Del Sol Condos</t>
  </si>
  <si>
    <t>m3/día</t>
  </si>
  <si>
    <t>m3/hombre/día</t>
  </si>
  <si>
    <t>Hombres requeridos/día</t>
  </si>
  <si>
    <t>Tamaño de la brigada</t>
  </si>
  <si>
    <t>Días para limpiar la playa</t>
  </si>
  <si>
    <t>MANUAL/CARRETILLAS MAX</t>
  </si>
  <si>
    <t>MANUAL/CARRETILLAS PROM</t>
  </si>
  <si>
    <t>MANUAL/TRÁILER MAX</t>
  </si>
  <si>
    <t>MANUAL/TRÁILER PROM</t>
  </si>
  <si>
    <t>Conclusiones preliminares:</t>
  </si>
  <si>
    <t>La limpieza de la playa sacando el sargazo con carretillas es inmanejable con menos de 20 personas, si se pretenden abrarcar todas las propiedades en arribazones por encima de los 130 m3 al día</t>
  </si>
  <si>
    <t>Solo con dos días seguidos de "arribazones moderadas" (por encima de 125 m3), sería suficiente como para que se acumule y descomponga el sargazo en la playa</t>
  </si>
  <si>
    <t>Un manejo eficiente de volúmenes de sargazo por encima de 125 m3/día, requiere que cada persona pueda sacar por encima de los 10 m3 en el día, lo cual es solo posible con máquinas o con un tráiler con capacidad de 2-3 m3.</t>
  </si>
  <si>
    <t>Centralized Beach Cleanup</t>
  </si>
  <si>
    <t>(with barrier)</t>
  </si>
  <si>
    <t>Beach Cleaning System Estimates</t>
  </si>
  <si>
    <t>Method 1</t>
  </si>
  <si>
    <t>Method 2</t>
  </si>
  <si>
    <t>Season Parameters</t>
  </si>
  <si>
    <t>Notes</t>
  </si>
  <si>
    <t>Length of season (months)</t>
  </si>
  <si>
    <t>Estimated amount of Sargassum to be removed m3</t>
  </si>
  <si>
    <t>From Summary spreadsheet</t>
  </si>
  <si>
    <t># working days per week</t>
  </si>
  <si>
    <t># working hours per day</t>
  </si>
  <si>
    <t>Average daily removal volume m3</t>
  </si>
  <si>
    <t>length</t>
  </si>
  <si>
    <t>Height</t>
  </si>
  <si>
    <t>width</t>
  </si>
  <si>
    <t>width w wheels</t>
  </si>
  <si>
    <t>Average removal volume per hour m3</t>
  </si>
  <si>
    <t>Trailer Loads</t>
  </si>
  <si>
    <t>largo</t>
  </si>
  <si>
    <t>alto</t>
  </si>
  <si>
    <t xml:space="preserve">ancho </t>
  </si>
  <si>
    <t>ancho con ruedas</t>
  </si>
  <si>
    <t>Trailer capacity (m3)</t>
  </si>
  <si>
    <t># of trailers loads</t>
  </si>
  <si>
    <t>Beach Workers (load)</t>
  </si>
  <si>
    <t>Time for one worker to load one m3 (minutes)</t>
  </si>
  <si>
    <t>Time for one worker to load trailers (hours)</t>
  </si>
  <si>
    <t>Required # of Beach Workers (load)</t>
  </si>
  <si>
    <t>Time to load trailer (minutes)</t>
  </si>
  <si>
    <t>ATVs</t>
  </si>
  <si>
    <t>ATV speed (km/h)</t>
  </si>
  <si>
    <t>Average distance to loading area (m)</t>
  </si>
  <si>
    <t>Average time to loading area (minutes)</t>
  </si>
  <si>
    <t>Average time to load trailer (minutes)</t>
  </si>
  <si>
    <t>Average time back to transfer area (minutes)</t>
  </si>
  <si>
    <t>Total average ATV travel time per load (minutes)</t>
  </si>
  <si>
    <t>Time for one ATV to transport loads (hours)</t>
  </si>
  <si>
    <t>Required # of ATVs</t>
  </si>
  <si>
    <t>Required # of ATV drivers</t>
  </si>
  <si>
    <t>Required # of Unload Workers</t>
  </si>
  <si>
    <t>grua, malacate</t>
  </si>
  <si>
    <t>Containers</t>
  </si>
  <si>
    <t>low</t>
  </si>
  <si>
    <t>Container capacity (m3)</t>
  </si>
  <si>
    <t>Average # Containers required per day</t>
  </si>
  <si>
    <t># Containers required for full season</t>
  </si>
  <si>
    <t xml:space="preserve">Centralized Beach Management Operating Expenses </t>
  </si>
  <si>
    <t>Expense</t>
  </si>
  <si>
    <t>Daily Cost</t>
  </si>
  <si>
    <t>Monthly Cost</t>
  </si>
  <si>
    <t>Qty</t>
  </si>
  <si>
    <t>Total Month</t>
  </si>
  <si>
    <t>Total Season Pesos</t>
  </si>
  <si>
    <t>USD</t>
  </si>
  <si>
    <t>Manager</t>
  </si>
  <si>
    <t>Se requieren dos trabajadores por cada AVT+Tráiler, debido a que se requiere prioriar jalar el sargazo con tridente desde el agua y cuando el ATV se va, enconces se requiere disgregar el sargazo en la playa.</t>
  </si>
  <si>
    <t>A este monto que se va a subcontratar, se tiene que agregar, el IVA (16%), ISR (18%) y la utilidad (15% como mínimo), que un tercero va a cobrar por encargarse del personal y los materiales para la colecta costera de sargazo.</t>
  </si>
  <si>
    <t>Beach Workers (unload)</t>
  </si>
  <si>
    <t>IDEM</t>
  </si>
  <si>
    <t>ATV Drivers</t>
  </si>
  <si>
    <t>Segundo rubro más caro y es crítico, pues de ellos va a depender que los ATV sean bien manejados y mantenidos. Una posibilidad sería contratar a los choferes directamente por EPA y tener nosotros la "transportación interna", como un "servicio a la comunidad" (incluyendo la recogida de la poda en los "tiempos muertos" del sargazo), y al proyecto mismo, ya que los ATV y los remolques finalmente se van a adquirir para HMB, pero se lo estaríamos dando en operación a un externo...lo cual no se me hace muy conveniente.</t>
  </si>
  <si>
    <t>Se le debe agregar al menos el IVA, si es que se realiza una contratación directa por EPA.</t>
  </si>
  <si>
    <t>Part time Beach Workers</t>
  </si>
  <si>
    <t>Food &amp; Drink</t>
  </si>
  <si>
    <t>ATM Fuel, maintenance</t>
  </si>
  <si>
    <t>Sargassum Disposal  (Container service)</t>
  </si>
  <si>
    <t>Rubro más caro...por mucho, por lo que hay que tratar de bajarlo, en función de lo que pueda aportar el Delegado y la ZOFEMAT</t>
  </si>
  <si>
    <t>El Delegado ya se comprometió a poner al menos un contenedor por semana en HMB, a costo del Municipio y ZOFEMAT. Una vez descontado esto, se debe restar también lo que se llevaría Henning para sus animales y lo que quede, entonces es lo que se paga en contenedores.</t>
  </si>
  <si>
    <t>Consumables</t>
  </si>
  <si>
    <t>EPA supervision, monitoring &amp; management</t>
  </si>
  <si>
    <t>A pesar de que se pretenda hacer "voluntariados" con esto...la supervisión de la limpieza de playa es una actividad diaria, con cuestiones tanto técnicas, ambientales como logísticas...que seguramente implicará dedicación total, ya que responderemos ante la SEMARNAT como promoventes de las acciones, avisos, reportes, bitácoras, etc.. Entonces casi seguro que esta será una actividad que recaiga sobre mi mismo...desde EPA...por lo que también tendría que sacarse de la licitación, para que no afecte los "números azules" de abajo...!</t>
  </si>
  <si>
    <t>Este rubro se puede eliminar, porque en la práctica, esto lo estaré realizando yo mismo y debe ser el monto que se paga arriba como "Manager".</t>
  </si>
  <si>
    <t>Lot rent for beach access</t>
  </si>
  <si>
    <t>Shared barrier labor, equipment discount (20%)</t>
  </si>
  <si>
    <t>Effective Centralized Beach Cleanup op Cost</t>
  </si>
  <si>
    <t>Possible Cost Reductions</t>
  </si>
  <si>
    <t>Municipal container removal</t>
  </si>
  <si>
    <t>Capital Expenditures</t>
  </si>
  <si>
    <t>Unit price</t>
  </si>
  <si>
    <t>Total (pesos)</t>
  </si>
  <si>
    <t>ATV's</t>
  </si>
  <si>
    <t>Trailers</t>
  </si>
  <si>
    <t>Miscellaneous equipment</t>
  </si>
  <si>
    <t>Seguramente las empresas encima de estos números, van a meter ISR, IVA, Gasto administrativo y Utilidad</t>
  </si>
  <si>
    <t>Estos números podrán bajar, si se manejan convenientemente los rubros de disposición final y choferes de ATV.</t>
  </si>
  <si>
    <t>Centralized Beach Management Operating Expenses (MN)</t>
  </si>
  <si>
    <t>IVAN'S ESTIMATIONS</t>
  </si>
  <si>
    <t>OBSERVACIONES</t>
  </si>
  <si>
    <t>Arribazón normal a un lote al día</t>
  </si>
  <si>
    <t>Limpieza de Juanito o Roger en viajes</t>
  </si>
  <si>
    <t>Tiempo de trabajo (h)</t>
  </si>
  <si>
    <t>No. de trabajadores/lote</t>
  </si>
  <si>
    <t>Limpieza de Juanito o Roger en viajes TOTAL</t>
  </si>
  <si>
    <t>No. de trabajadores/lote TOTAL</t>
  </si>
  <si>
    <t>Total Season</t>
  </si>
  <si>
    <t>PROCESO:</t>
  </si>
  <si>
    <t>Limpieza diaria del sargazo, desplegado en "camas bajas" en todos los sitios que se pueda, para luego ser levantado por un camión y llevados a disponer en un sitio preparado en el pueblo</t>
  </si>
  <si>
    <t>INMANEJABLE</t>
  </si>
  <si>
    <t>Si fuera con facturación incluida</t>
  </si>
  <si>
    <t>uego ser levantado por un camión y llevados a disponer en un sitio preparado en el pueblo</t>
  </si>
  <si>
    <t>Full time Laborers</t>
  </si>
  <si>
    <t>Dos turnos de trabajo diferentes diario, uno de 6-11 y otro de 4-8. El sábado solo de 6-11.</t>
  </si>
  <si>
    <t>Si cada lote tuviera una persona para la limpieza del sargazo:</t>
  </si>
  <si>
    <t>INEFICIENTE</t>
  </si>
  <si>
    <t>Laborers ATV drivers</t>
  </si>
  <si>
    <t>Materials &amp; accessories</t>
  </si>
  <si>
    <t>Palas, trinches, bieldos, malla sombra.</t>
  </si>
  <si>
    <t>Si esa persona tuviera el apoyo de otros 4 y dos remolques en la playa:</t>
  </si>
  <si>
    <t>SIGUE SIENDO INEFICIENTE EN LOS PICOS, PERO YA ES MUCHO MÁS MANEJABLE</t>
  </si>
  <si>
    <t>Protective clothing and equipment</t>
  </si>
  <si>
    <t>Ropa clara de manga larga, pasamontañas, sombrero, botas impermeable y careta con filtro de aire</t>
  </si>
  <si>
    <t xml:space="preserve">POR LO TANTO: </t>
  </si>
  <si>
    <t>La estrategia de limpieza no puede ser pautada solo 5 horas al día...deben ser dos turnos, dejando el mediodía sin limpieza</t>
  </si>
  <si>
    <t>Un refrigerio y agua para cada uno, dos para el Manager</t>
  </si>
  <si>
    <t>Deben ser dos brigadas de 4-6 personas, incluido el chofer del ATV, más el staff de cada propiedad</t>
  </si>
  <si>
    <t>Beach to holding area transportation</t>
  </si>
  <si>
    <t>Sargassum Disposal</t>
  </si>
  <si>
    <t>Falta averiguar los costos de disposición en los "sitios oficiales" de Tulum</t>
  </si>
  <si>
    <t>EPA supervisor &amp; monitoring</t>
  </si>
  <si>
    <t>*Habría que considerar un mnto para la adecuación del sitio que finalmente se consiga como acceso a la playa (bardeado, aplanado, cadena, candado, quizá una cámara de videovigilancia)</t>
  </si>
  <si>
    <t>Equipment</t>
  </si>
  <si>
    <t>Item</t>
  </si>
  <si>
    <t>Unit Cost</t>
  </si>
  <si>
    <t>Quantity</t>
  </si>
  <si>
    <t>Total</t>
  </si>
  <si>
    <t>Links</t>
  </si>
  <si>
    <t>Tow vehicle</t>
  </si>
  <si>
    <t>Gas powered ATV with hitch and silencer</t>
  </si>
  <si>
    <t>https://www.amazon.com/X-PRO-Wheelers-Utility-Shining-Headlight/dp/B081GMNR95/ref=sr_1_2?crid=U98THK5GKUFX&amp;keywords=utility%2Bvehicle&amp;qid=1698572423&amp;sprefix=utility%2Bvehicle%2Caps%2C76&amp;sr=8-2&amp;ufe=app_do%3Aamzn1.fos.765d4786-5719-48b9-b588-eab9385652d5&amp;th=1</t>
  </si>
  <si>
    <t>2 cubic meter trailer</t>
  </si>
  <si>
    <t>Trailer fabridado en Bacalar más transportación</t>
  </si>
  <si>
    <t>https://ruggedat.com/my-new-trailer/?utm_source=GoogleAdwords&amp;utm_medium=Search&amp;utm_term=aluminum%20flatbed%20trailer&amp;utm_campaign&amp;gad=1&amp;gclid=Cj0KCQjwhfipBhCqARIsAH9msbkpwELPIDUH38sykEU5DdRB7dZjvoH1fXA6ZkliPmNtyuRvXFhTCckaAhlKEALw_wcB</t>
  </si>
  <si>
    <t>Prep Tasks</t>
  </si>
  <si>
    <t>Clearing Access to beach</t>
  </si>
  <si>
    <t>Actual Historical Cost</t>
  </si>
  <si>
    <t>Wheelbarrow/Truck system  (per m3)</t>
  </si>
  <si>
    <t>USD ($)</t>
  </si>
  <si>
    <t>Medium</t>
  </si>
  <si>
    <t>Amount to Remove per 20 m lot, per season (m3)</t>
  </si>
  <si>
    <t>Theoretical Cost  per lot season cost (using Roger)</t>
  </si>
  <si>
    <t>Wheelbarrow/Truck system</t>
  </si>
  <si>
    <t>$</t>
  </si>
  <si>
    <t>Cost per 6 m3 Truckload</t>
  </si>
  <si>
    <t>Cost per m3</t>
  </si>
  <si>
    <t>Cost per season</t>
  </si>
  <si>
    <t>Beach Car/Winch/Truck system Investment</t>
  </si>
  <si>
    <t>4 Beach Carts</t>
  </si>
  <si>
    <t>One winch</t>
  </si>
  <si>
    <t>6 workers</t>
  </si>
  <si>
    <t>2 Trucks</t>
  </si>
  <si>
    <t>Misc parts (Scafolding, etc.)</t>
  </si>
  <si>
    <t>Beach Car/Winch/Truck/Crew System Removal capacity</t>
  </si>
  <si>
    <t>Trucks</t>
  </si>
  <si>
    <t>Truck loads per 8 hour day (40 min cycle)</t>
  </si>
  <si>
    <t>Truck capacity m3</t>
  </si>
  <si>
    <t>Removal volume per day (m3)</t>
  </si>
  <si>
    <t>Theoretical per lot Season Cost  (using Roger)</t>
  </si>
  <si>
    <t>Beach Car/Winch/Truck system</t>
  </si>
  <si>
    <t>Labor Cost per season</t>
  </si>
  <si>
    <t>Equipment Rental Cost</t>
  </si>
  <si>
    <t>Total Cost per season</t>
  </si>
  <si>
    <t>Meses de operacion</t>
  </si>
  <si>
    <t>% 10 de costo de ATVs y Remolques</t>
  </si>
  <si>
    <t>Costo por contenedor</t>
  </si>
  <si>
    <t># de contenedores</t>
  </si>
  <si>
    <t>Remuneracion diaria operador ATV</t>
  </si>
  <si>
    <t>Dias de trabajo por semana</t>
  </si>
  <si>
    <t>Semanas en un Mes</t>
  </si>
  <si>
    <t xml:space="preserve"># de operadores </t>
  </si>
  <si>
    <t>% impuestos y seguridad social</t>
  </si>
  <si>
    <t>Trabajadores</t>
  </si>
  <si>
    <t>Remuneracion Trabajadores</t>
  </si>
  <si>
    <t>Gestor de las operaciones</t>
  </si>
  <si>
    <t>Jefe de Proyecto sin Barrera</t>
  </si>
  <si>
    <t xml:space="preserve">Jefe de Proyecto con Barrera </t>
  </si>
  <si>
    <t>Meses de actividad Jefe de Proyecto y Gastos Administrativos</t>
  </si>
  <si>
    <t>Comida y Bebida por persona, dia</t>
  </si>
  <si>
    <t>Total # personas</t>
  </si>
  <si>
    <t>Costo/l gasolina</t>
  </si>
  <si>
    <t>Litros por ATV, Semana</t>
  </si>
  <si>
    <t>Renta espacio para proyecto (terreno, bodgar, oficina)</t>
  </si>
  <si>
    <t>PRESUPUESTO DE OPERACIÓN DE LS-HMB-2024 actualizado (MN)</t>
  </si>
  <si>
    <t>Concepto</t>
  </si>
  <si>
    <t>Costo</t>
  </si>
  <si>
    <t>Cantidad</t>
  </si>
  <si>
    <t>Subtotal</t>
  </si>
  <si>
    <t>Mantenimientos (10% costo equipo)</t>
  </si>
  <si>
    <t>Considerando un servicio anual a cada ATV y cada remolque</t>
  </si>
  <si>
    <t>Servicio contenedores (disposicion final; 6800/cont)</t>
  </si>
  <si>
    <t>Considerando un promedio semanal de 2 contenedores con costo, puesto que los demás serían gratis por ZOFEMAT</t>
  </si>
  <si>
    <t>Operador de ATV</t>
  </si>
  <si>
    <t>Considerando dos operadores de ATV, contratados con los seguros de ley</t>
  </si>
  <si>
    <t>Trabajadores (playa, contenedor)</t>
  </si>
  <si>
    <t>Considerando un asistente por ATV, más uno que acomoda en el Contenedor, contratados con los seguros de ley</t>
  </si>
  <si>
    <t>Auxiliar</t>
  </si>
  <si>
    <t>Suplente de ATV driver, apoyo en el control de staff y manejo de datos</t>
  </si>
  <si>
    <t>Jefe de Proyecto</t>
  </si>
  <si>
    <t>Coordinación del proyecto, monitoreo del sargazo y del clima marítimo, manejo del staff, reportes mensuales, elaboración y envío de las bitácoras a la SEMARNAT</t>
  </si>
  <si>
    <t>Gastos administrativos (buffete contable)</t>
  </si>
  <si>
    <t>Manejo de la nómina, líneas de captura, manejo de efectivo, seguros de ley</t>
  </si>
  <si>
    <t>Materiales y herramientas</t>
  </si>
  <si>
    <t>Palas, bieldos, baterías, cabos, mantenimiento a radios, etc.</t>
  </si>
  <si>
    <t>Alimentos y bebidas staff</t>
  </si>
  <si>
    <t>Considerando un aumento de 4 personas más al esquema actual</t>
  </si>
  <si>
    <t>Combustibles</t>
  </si>
  <si>
    <t>Considerando 10 L a la semana por ATV</t>
  </si>
  <si>
    <t>Renta de Oficina y almacén EPA</t>
  </si>
  <si>
    <t>Resguardo y mantenimiento de materiales, habituallamiento del staff, centro de monitoreo y reportes</t>
  </si>
  <si>
    <t>SUBTOTAL</t>
  </si>
  <si>
    <t>IVA</t>
  </si>
  <si>
    <t>750*6*4*2*1.25</t>
  </si>
  <si>
    <t>TOTAL</t>
  </si>
  <si>
    <t>salario diario*6 dias*4semanas*2 personas * neto mas gastos laborales</t>
  </si>
  <si>
    <t>POR MES (8 meses)</t>
  </si>
  <si>
    <t>POR PROPIEDAD AL MES (20 participantes)</t>
  </si>
  <si>
    <t>PESOS</t>
  </si>
  <si>
    <t>Protector solar, mascarillas, sombreros, camisas de mangas largas, guantes, pantalones y botas</t>
  </si>
  <si>
    <t>Limpieza de toda la bahía y extracción a sitios de acopio</t>
  </si>
  <si>
    <t>Remolques</t>
  </si>
  <si>
    <t>Apertura del acceso norte</t>
  </si>
  <si>
    <t>Entre Tanik y la Tortuga</t>
  </si>
  <si>
    <t>Instalación del portón</t>
  </si>
  <si>
    <t>Materiales de protección</t>
  </si>
  <si>
    <t>Week</t>
  </si>
  <si>
    <t>Month</t>
  </si>
  <si>
    <t>Operador</t>
  </si>
  <si>
    <t>Trabajador</t>
  </si>
  <si>
    <t>Contenedores  35 m3</t>
  </si>
  <si>
    <t>Cost/m3</t>
  </si>
  <si>
    <t>PRESUPUESTO DE OPERACIÓN DE LS-HMB-2025 actualizado (MN)</t>
  </si>
  <si>
    <t>Observaciones</t>
  </si>
  <si>
    <t>Considerando 1 contenedor a la semana</t>
  </si>
  <si>
    <t>COSTO TOTAL POR MES (8 meses)</t>
  </si>
  <si>
    <t>TERRENO PARA DISPOSICIÓN TEMPORAL Y PROCESAMIENTO DEL SARGAZO (USD)</t>
  </si>
  <si>
    <t xml:space="preserve">Adecuación y legalización </t>
  </si>
  <si>
    <t>Incluye la adecuación con geomembrana, la Manifestación de Impacto Ambientasl y las demás gestiones ambientales requeridas.</t>
  </si>
  <si>
    <t>Renta de terreno</t>
  </si>
  <si>
    <t>Pendiente de respuesta de dos opciones en Akumal pueblo</t>
  </si>
  <si>
    <t>Adecuación y operación de terreno</t>
  </si>
  <si>
    <t>En caso de que se requiera bardear, aplanar e instalar pozo de agua, internet y videovigilancia</t>
  </si>
  <si>
    <t>GASTOS DE INSTALACIÓN Y DESINSTALACIÓN DE LA BARRERA (MN)</t>
  </si>
  <si>
    <t>Capitán de dinghy</t>
  </si>
  <si>
    <t>Reposición de anclajes pendientes e instalación coordinada con lancha</t>
  </si>
  <si>
    <t>Buzo (3)</t>
  </si>
  <si>
    <t>Reinstalación de anclajes primero, reinstalación y ajustes de configuración al final</t>
  </si>
  <si>
    <t>Renta de equipo de buceo</t>
  </si>
  <si>
    <t>Snorkelers (6)</t>
  </si>
  <si>
    <t>Trabajadores en tierra (12)</t>
  </si>
  <si>
    <t>Carga en el terreno y descargas en la playa y extremo norte</t>
  </si>
  <si>
    <t>Coordinación, monitoreo, administración</t>
  </si>
  <si>
    <t>Renta de embarcación</t>
  </si>
  <si>
    <t>Reinstalación de la barrera</t>
  </si>
  <si>
    <t>Renta de vehículo</t>
  </si>
  <si>
    <t>Tracción del remolque, movimiento de equipos de buceo, compras, etc.</t>
  </si>
  <si>
    <t>Renta de remolque</t>
  </si>
  <si>
    <t>Traslados de la barrera y de personal</t>
  </si>
  <si>
    <t>Materiales y consumibles</t>
  </si>
  <si>
    <t>Baterías, papelería, herramientas, pegamentos, etc.</t>
  </si>
  <si>
    <t>Agua y alimentos</t>
  </si>
  <si>
    <t>Half Moon Bay Sargassum Influx</t>
  </si>
  <si>
    <t>Season Months</t>
  </si>
  <si>
    <t>Removal cost M3 (third party)</t>
  </si>
  <si>
    <t>one truck is 5m3 and costs $3016 pesos incl iva</t>
  </si>
  <si>
    <t>us$33.33 per m3 to remove</t>
  </si>
  <si>
    <t>Removal cost M3 (EPA)</t>
  </si>
  <si>
    <t>variable</t>
  </si>
  <si>
    <t xml:space="preserve">HIZ lots </t>
  </si>
  <si>
    <t>HIZ lots participating</t>
  </si>
  <si>
    <t>USD to Peso</t>
  </si>
  <si>
    <t>Year</t>
  </si>
  <si>
    <t>Total Season Influx M3</t>
  </si>
  <si>
    <t>Barrier Deflected Sargassum M3</t>
  </si>
  <si>
    <t>Influx after Barrier M3</t>
  </si>
  <si>
    <t>Total Influx Per lot  M3</t>
  </si>
  <si>
    <t>Average Daily Influx Per lot
 M3</t>
  </si>
  <si>
    <t>Removal Cost/day/lot Pesos</t>
  </si>
  <si>
    <t>Removal Cost/Month/lot Pesos</t>
  </si>
  <si>
    <t>Removal Cost /Season /lot
 Pesos</t>
  </si>
  <si>
    <t>Removal Cost/Season for all lots Pesos</t>
  </si>
  <si>
    <t>Total Removal Cost USD</t>
  </si>
  <si>
    <t>Removal Cost /Season /lot USD</t>
  </si>
  <si>
    <t>Removal Cost/lot/Season month USD</t>
  </si>
  <si>
    <t>Removal Cost/lot/month USD</t>
  </si>
  <si>
    <t>Budget estimate</t>
  </si>
  <si>
    <t xml:space="preserve">  </t>
  </si>
  <si>
    <t xml:space="preserve">Barrier Op Cost </t>
  </si>
  <si>
    <t>Amount to finance upfront</t>
  </si>
  <si>
    <t>Centralized Beach Cleaning Op Cost Pesos</t>
  </si>
  <si>
    <t>Participating Lots</t>
  </si>
  <si>
    <t>Total Op Cost</t>
  </si>
  <si>
    <t>Annual Per lot contribution</t>
  </si>
  <si>
    <t>Mitigation Threshold M3</t>
  </si>
  <si>
    <t># Payments</t>
  </si>
  <si>
    <t>Variable Mitigation Cost per M3</t>
  </si>
  <si>
    <t>Payment</t>
  </si>
  <si>
    <t>Season Influx M3</t>
  </si>
  <si>
    <t>Fixed Mitigation Cost</t>
  </si>
  <si>
    <t>Variable Mitigation Cost</t>
  </si>
  <si>
    <t>Total Mitigation Cost</t>
  </si>
  <si>
    <t>PRUEBA PILOTO DE COLECTA COSTERA HMB</t>
  </si>
  <si>
    <t>Camión de retiro más personal (6 días a la semana 8 hrs/día con hora de comida incluida)</t>
  </si>
  <si>
    <t>Ingreso con remolque y ATV, colecta y descarga directo en el camión de 3 T (6 diarios), para que sea depositado fuera de HMB. Durante el viaje de descarga se continúa colectando sargazo en la playa y dejándolo temporalmente fuera o dentro del terreno.</t>
  </si>
  <si>
    <t>Renta de ATV</t>
  </si>
  <si>
    <t>Renta de una semana que incluye traslados y atención a cualquier desperfecto mecánico que presente.</t>
  </si>
  <si>
    <t>Remolque de 0.5 m3 disponible en Akumal</t>
  </si>
  <si>
    <t>Para la cuatrimoto y vehículos durente el trabajo de campo y la gestión del contrato de uso del terreno</t>
  </si>
  <si>
    <t>Producto enzimático Odor-free</t>
  </si>
  <si>
    <t>Para poder manejar el sargazo en la playa y acumular el sargazo podrido ya sea fuera o dentro del terreno y no afectar a los vecinos, comensales del restaurante y transeuntes.</t>
  </si>
  <si>
    <t>Materiales y herramientas (malla sombra, trinches, rastrillos, mascarillas e impermeables con botas)</t>
  </si>
  <si>
    <t>Material de trabajo, sin considerar carretillas para el piloto, así como equipo de protección personal mínimo necesario para el trabajo en condiciones de putrefacción del sargazo.</t>
  </si>
  <si>
    <t>Firma y protocolización de contrato de uso de terreno</t>
  </si>
  <si>
    <t>Incluye la protocolización con notario público del contrato de uso del predio más en traslado a Chetumal en un vehículo rentado.</t>
  </si>
  <si>
    <t>Responsable de campo y monitoreo</t>
  </si>
  <si>
    <t>Marco o David, para la toma de tiempos, fotos, documentación con dron, atención a las autoridades, etc.</t>
  </si>
  <si>
    <t>Coordinador</t>
  </si>
  <si>
    <t>Iván</t>
  </si>
  <si>
    <t>El pago de este ejercicio, cuando se haga, no puede ser directo a la caja chica "en efectivo", pues implicaría complicaciones fiscales. Debe ser a otra cuenta de empresa y se facturaría bajo los ttérminos de ley.</t>
  </si>
  <si>
    <t>Average Cleanup Cost</t>
  </si>
  <si>
    <t>SUM of Barrier Operating Cost</t>
  </si>
  <si>
    <t>Total Average Annual Cost</t>
  </si>
  <si>
    <t>Truck Loads /Month</t>
  </si>
  <si>
    <t>Grand Total</t>
  </si>
  <si>
    <t>Total Full Service</t>
  </si>
  <si>
    <t>Total Street Service</t>
  </si>
  <si>
    <t>$ Difference</t>
  </si>
  <si>
    <t>% Difference</t>
  </si>
  <si>
    <t>HMB Sargassum Cleanup Costs</t>
  </si>
  <si>
    <t>(USD)</t>
  </si>
  <si>
    <t>Check to use lowest of Actual for Estimates</t>
  </si>
  <si>
    <t>2021-to date</t>
  </si>
  <si>
    <t>Total 17-21</t>
  </si>
  <si>
    <t>Average per year</t>
  </si>
  <si>
    <t>Actual or Estimated Numbers</t>
  </si>
  <si>
    <t>Buena Vida</t>
  </si>
  <si>
    <t>Estimated</t>
  </si>
  <si>
    <t>Actual</t>
  </si>
  <si>
    <t>Mixed</t>
  </si>
  <si>
    <t>Average of Actual</t>
  </si>
  <si>
    <t>Lowest of Actual</t>
  </si>
  <si>
    <t>La Mirage, Hacienda Tortuga, Condos Tan-ik, Casa Fortuna, La Joya, Villas Flamingos, La Bahia, The Reef, Luna Azul, Playa Caribe, Nikte Ha, Nikte, Playa Blanca, Del Sol Condos Norte, Lo Kana’ab, Half Moon Bay Condos, and Del Sol Condos</t>
  </si>
  <si>
    <t>PROPUESTA DE TERIFAS PARA LOS SERVICIOS DE EPA EN HMB</t>
  </si>
  <si>
    <t>I. Asesoría para la instalación de barreras</t>
  </si>
  <si>
    <t>Muestreo del fondo marino</t>
  </si>
  <si>
    <t>Muestreo aéreo con dron</t>
  </si>
  <si>
    <t>Análisis de información meteorológica y oceanográfica</t>
  </si>
  <si>
    <t>Análisis de diferentes opciones de barreras</t>
  </si>
  <si>
    <t>Diseño de estrategia de operatividad de la barrera</t>
  </si>
  <si>
    <t>Diseño de estrategia de monitoreo y mantenimiento</t>
  </si>
  <si>
    <t>Elaboración de propuesta técnica</t>
  </si>
  <si>
    <t>II. Instalación de barreras antisargazo</t>
  </si>
  <si>
    <t>Todas las anteriores</t>
  </si>
  <si>
    <t>Gestión de autorizaciones ante las autoridades</t>
  </si>
  <si>
    <t>Instalación de la barrera</t>
  </si>
  <si>
    <t>Asesoría en la operatividad de la barrera</t>
  </si>
  <si>
    <t>III. Asesorías para el manejo integral del sargazo</t>
  </si>
  <si>
    <t>Diseño de estrategia de colecta costera</t>
  </si>
  <si>
    <t>Diseño de estrategia de preprocesamiento y deshidratado</t>
  </si>
  <si>
    <t>Diseño de estrategia de retiro, disposición y aprovechamiento</t>
  </si>
  <si>
    <t>Otros servicios</t>
  </si>
  <si>
    <t>Uso compartido de oficina y bodega</t>
  </si>
  <si>
    <t>Instalación de cámaras de monitoreo y videovigilancia</t>
  </si>
  <si>
    <t>Asesoría en limpieza de playas</t>
  </si>
  <si>
    <t>Uso del dinghy</t>
  </si>
  <si>
    <t>Uso de la ecosonda y GPS</t>
  </si>
  <si>
    <t>Uso del taladro subacuático</t>
  </si>
  <si>
    <t>M3 per truck load</t>
  </si>
  <si>
    <t>Cost per truck load (pesos)</t>
  </si>
  <si>
    <t>Cost per M3  (pesos)</t>
  </si>
  <si>
    <t>Loads</t>
  </si>
  <si>
    <t>M3</t>
  </si>
  <si>
    <t>January</t>
  </si>
  <si>
    <t>2024 Sargasso Removal</t>
  </si>
  <si>
    <t>February</t>
  </si>
  <si>
    <t>Month  Loads   Pesos</t>
  </si>
  <si>
    <t>March</t>
  </si>
  <si>
    <t>March   (2)       4,000</t>
  </si>
  <si>
    <t>April</t>
  </si>
  <si>
    <t>April      (6)      12,000</t>
  </si>
  <si>
    <t>May</t>
  </si>
  <si>
    <t>May      (25)    50,000</t>
  </si>
  <si>
    <t>June</t>
  </si>
  <si>
    <t>June     (12)    24,000</t>
  </si>
  <si>
    <t>July</t>
  </si>
  <si>
    <t>July       (7)      14,000</t>
  </si>
  <si>
    <t>August</t>
  </si>
  <si>
    <t>Aug.      (4)        8,000</t>
  </si>
  <si>
    <t>September</t>
  </si>
  <si>
    <t>Sept.     (2)        4,000</t>
  </si>
  <si>
    <t>October</t>
  </si>
  <si>
    <t>Oct.       (2)        4,000</t>
  </si>
  <si>
    <t>November</t>
  </si>
  <si>
    <t>December</t>
  </si>
  <si>
    <t>Cost (pesos)</t>
  </si>
  <si>
    <t>2025 Sargasso Removal</t>
  </si>
  <si>
    <t>Month Loads  Pesos</t>
  </si>
  <si>
    <t>Feb.        (10)   22,000</t>
  </si>
  <si>
    <t>March   (22)   48,400</t>
  </si>
  <si>
    <t>April      (28)   66,352</t>
  </si>
  <si>
    <t>May       (29)   66,352</t>
  </si>
  <si>
    <t>June      (30)   66,352</t>
  </si>
  <si>
    <t>approx USD</t>
  </si>
  <si>
    <t>Soliman Bay</t>
  </si>
  <si>
    <t>Parameter</t>
  </si>
  <si>
    <t>Soliman</t>
  </si>
  <si>
    <t>HMB</t>
  </si>
  <si>
    <t>Opening Width (meters)</t>
  </si>
  <si>
    <t>Beach length (meters)</t>
  </si>
  <si>
    <t>HIZ length (meters)</t>
  </si>
  <si>
    <t>Annual Barrier Operating Costs (pesos)</t>
  </si>
  <si>
    <t xml:space="preserve">Annual Beach Cleaning Costs </t>
  </si>
  <si>
    <t>Average annual sargassum influx (cubic meters)</t>
  </si>
  <si>
    <t>Total Property Owners (pesos)</t>
  </si>
  <si>
    <t>Participating Property Owners (houses, condos)</t>
  </si>
  <si>
    <t>LA BAHIA SARGASSO EXPENSES</t>
  </si>
  <si>
    <t>BEACH CLEAN UP</t>
  </si>
  <si>
    <t>SARGASSO HAULING</t>
  </si>
  <si>
    <t>EQUIPMENT</t>
  </si>
  <si>
    <t>ANNUAL COST</t>
  </si>
  <si>
    <t>FOUR YEAR TOTAL COST</t>
  </si>
  <si>
    <t>AVERAGE PER YEAR</t>
  </si>
  <si>
    <t>OLD VENICOS ANNUAL DUES</t>
  </si>
  <si>
    <t>NEW VENICOS DUES AT $117.00 PER UNIT</t>
  </si>
  <si>
    <t>BARRIER MAINTAINANCE &amp; REPAIR</t>
  </si>
  <si>
    <t>NOT INCLUDED</t>
  </si>
  <si>
    <t>MANAGEMENT FEE FOR CC &amp; MAINTAINANCE</t>
  </si>
  <si>
    <t>SARGASS0 REMOVAL FROM BARRIER</t>
  </si>
  <si>
    <t>SARGASSO REMOVAL FROM BEACH</t>
  </si>
  <si>
    <t>YEARS</t>
  </si>
  <si>
    <t>OCCUPANCY FOR ALL OF LA BAHIA</t>
  </si>
  <si>
    <t>SARGASSO REMOVAL COST FOR 6 MONTHS</t>
  </si>
  <si>
    <t>EXCHANGE RATE</t>
  </si>
  <si>
    <t>US DOLLARS</t>
  </si>
  <si>
    <t>DEC-JUN 2018</t>
  </si>
  <si>
    <t>DEC-JUN 2019</t>
  </si>
  <si>
    <t>DEC- JUN 2020</t>
  </si>
  <si>
    <t>DEC-JUN 2021</t>
  </si>
  <si>
    <t>SARGASSO REMOVAL COST FOR 6 MOMTHS</t>
  </si>
  <si>
    <t>YEARLY COST FOR 12 MONTHS</t>
  </si>
  <si>
    <t>ESTIMATED</t>
  </si>
  <si>
    <t>TOTAL COST FOR 4 YEARS</t>
  </si>
  <si>
    <t>BARRIER COST FOR EACH YEAR</t>
  </si>
  <si>
    <t>LA BAHIA ANNUAL COST</t>
  </si>
  <si>
    <t>MAINTENANCE COST EST</t>
  </si>
  <si>
    <t>PER UNIT PER MONTH</t>
  </si>
  <si>
    <t>8 UNITS PER MONTH</t>
  </si>
  <si>
    <t>TOTAL BARRIER COST FOR 4 YEARS</t>
  </si>
  <si>
    <t>TOTAL COST FOR SARGASSO REMOVAL</t>
  </si>
  <si>
    <t>BARRIER COST OVER REMOVAL COST</t>
  </si>
  <si>
    <t>BARRIER MAINTENACE COST</t>
  </si>
  <si>
    <t>CARRIER OVER COST</t>
  </si>
  <si>
    <t>LESS MANUAL REMOVAL COST</t>
  </si>
  <si>
    <t>COST WITH CARRIER OVER FOR 2026</t>
  </si>
  <si>
    <t>STARTING BALANCE</t>
  </si>
  <si>
    <t>2026 MAINTENACE COST</t>
  </si>
  <si>
    <t>COST WITH CARRIER OVER FOR</t>
  </si>
  <si>
    <t>NEW BARRIER NEEDED</t>
  </si>
  <si>
    <t>COST WITH CARRIER OVER COST</t>
  </si>
  <si>
    <t>MAINTENACE COST</t>
  </si>
  <si>
    <t xml:space="preserve">August </t>
  </si>
  <si>
    <t xml:space="preserve">October </t>
  </si>
  <si>
    <t>Overhead</t>
  </si>
  <si>
    <t>Totals (pesos)</t>
  </si>
  <si>
    <t>Totals ($)</t>
  </si>
  <si>
    <t>Truck Load (m3)</t>
  </si>
  <si>
    <t>Street Pickup Cost (pesos)</t>
  </si>
  <si>
    <t>Beach Removal + Street Pickukp Cost (pesos)</t>
  </si>
  <si>
    <t>Beach Removal &amp; Pickup Cost per m3</t>
  </si>
  <si>
    <t>Smell Control, additional labor cost per m3</t>
  </si>
  <si>
    <t>Total Cost per m3</t>
  </si>
  <si>
    <t>Truck loads July 2021</t>
  </si>
  <si>
    <t>M3 removed during July 2021</t>
  </si>
  <si>
    <t>Total Cost of Removal July 2021</t>
  </si>
  <si>
    <t>Removal Cost for 2021 (to date)</t>
  </si>
  <si>
    <t>M3 removed during 2021 (to date)</t>
  </si>
  <si>
    <t xml:space="preserve">Projected Removal Cost for 2021 </t>
  </si>
  <si>
    <t>Projected total M3 removed during 2021</t>
  </si>
  <si>
    <t>Simple 5 year ROI</t>
  </si>
  <si>
    <t>Barrier Items</t>
  </si>
  <si>
    <t xml:space="preserve">Barrier </t>
  </si>
  <si>
    <t xml:space="preserve">Barrier Operation, Maintenance (annual)  </t>
  </si>
  <si>
    <t>Barrier Operation, Maintenance (5 years)</t>
  </si>
  <si>
    <t>Total 5 year Barrier expense</t>
  </si>
  <si>
    <t>Beach Cleanup Items</t>
  </si>
  <si>
    <t>Beach Sargassum Removal Cost per m3</t>
  </si>
  <si>
    <t>Beach Cleanup Expense, No Barrier, per year average</t>
  </si>
  <si>
    <t>Beach Cleanup Expense, No Barrier, 5 years</t>
  </si>
  <si>
    <t>Barrier Sargassum Containment Efficiency</t>
  </si>
  <si>
    <t>Beach Cleanup Expense, With Barrier, per year average</t>
  </si>
  <si>
    <t>Beach Cleanup Expense, With Barrier, 5 years</t>
  </si>
  <si>
    <t>Net Beach Cleanup Savings with Barrier</t>
  </si>
  <si>
    <t>5 year ROI</t>
  </si>
  <si>
    <t>HMB Barrier 5 year ROI</t>
  </si>
  <si>
    <t>Figures in US $; per year amounts</t>
  </si>
  <si>
    <t>ROI on Cost Savings Alone</t>
  </si>
  <si>
    <t>Projected Expenses WITHOUT Barrier for 2021 to 2025</t>
  </si>
  <si>
    <t>Expenses</t>
  </si>
  <si>
    <t>Amount</t>
  </si>
  <si>
    <t>Manual Sargassum Removal per year (average)</t>
  </si>
  <si>
    <t>NOTE the cost per foot of beachfront</t>
  </si>
  <si>
    <t>Manual Sargassum Removal over 5 years</t>
  </si>
  <si>
    <t>Total Expenses WITHOUT Barrier</t>
  </si>
  <si>
    <t>Projected Expenses WITH Barrier for 2021 to 2025</t>
  </si>
  <si>
    <t>Barrier effectiviness</t>
  </si>
  <si>
    <t>REDUCE this amount</t>
  </si>
  <si>
    <t>Barrier Operation and Maintenance per Year</t>
  </si>
  <si>
    <t>DOES this number match the quote from Ingmar?</t>
  </si>
  <si>
    <t>Barrier Operation and Maintenance over 5 years</t>
  </si>
  <si>
    <t>Manual Sargassum Removal per year</t>
  </si>
  <si>
    <t>MAKE it clearer that this is the minor BEACH removal that will be paid for by HIZ properties.....???CONSIDER adding another line for POSSIBLE removal from southern headlands??</t>
  </si>
  <si>
    <t>Total Expenses WITH Barrier</t>
  </si>
  <si>
    <t>5 year ROI $</t>
  </si>
  <si>
    <t>5 year ROI %</t>
  </si>
  <si>
    <t>ROI with Revenue Increases Included</t>
  </si>
  <si>
    <t>Projected Increased Tourism Revenue WITH Barrier for 2021 to 2025</t>
  </si>
  <si>
    <t># Properties</t>
  </si>
  <si>
    <t>Average increase in rental revenue per property/year</t>
  </si>
  <si>
    <t># Businesses</t>
  </si>
  <si>
    <t>Average increase in revenue per business/year</t>
  </si>
  <si>
    <t>Revenue Increases</t>
  </si>
  <si>
    <t>Total rental properties revenue increase per year</t>
  </si>
  <si>
    <t>Total rental properties revenue increase over 5 years</t>
  </si>
  <si>
    <t>Total businesses revenue increase per year</t>
  </si>
  <si>
    <t>Total Businesses revenue increase over 5 years</t>
  </si>
  <si>
    <t>Total Revenue Increase WITH Barrier</t>
  </si>
  <si>
    <t>Total Expense Reduction WITH Barrier</t>
  </si>
  <si>
    <t>Barrier Operation and maintenance calculationQty</t>
  </si>
  <si>
    <t>Barrier length (metres)1065</t>
  </si>
  <si>
    <t>Operation, maintenance cost per meter per month; includes 2 removals and 2 deployments$8.00</t>
  </si>
  <si>
    <t>Operation, maintenance cost for Barrier per year$85,200.00</t>
  </si>
  <si>
    <t>Contingency for additional removal and deployment$8,733.00</t>
  </si>
  <si>
    <t>Total$93,933.00</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</si>
</sst>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
    <numFmt numFmtId="165" formatCode="0.0"/>
    <numFmt numFmtId="166" formatCode="&quot;$&quot;#,##0.00"/>
    <numFmt numFmtId="167" formatCode="#,##0.0"/>
  </numFmts>
  <fonts count="60">
    <font>
      <sz val="10.0"/>
      <color rgb="FF000000"/>
      <name val="Arial"/>
      <scheme val="minor"/>
    </font>
    <font>
      <b/>
      <sz val="24.0"/>
      <color theme="1"/>
      <name val="Arial"/>
      <scheme val="minor"/>
    </font>
    <font>
      <color theme="1"/>
      <name val="Arial"/>
      <scheme val="minor"/>
    </font>
    <font>
      <b/>
      <sz val="14.0"/>
      <color theme="1"/>
      <name val="Arial"/>
      <scheme val="minor"/>
    </font>
    <font>
      <sz val="14.0"/>
      <color theme="1"/>
      <name val="Arial"/>
      <scheme val="minor"/>
    </font>
    <font>
      <b/>
      <sz val="12.0"/>
      <color theme="1"/>
      <name val="Arial"/>
      <scheme val="minor"/>
    </font>
    <font>
      <b/>
      <sz val="14.0"/>
      <color rgb="FFFF0000"/>
      <name val="Arial"/>
      <scheme val="minor"/>
    </font>
    <font>
      <sz val="12.0"/>
      <color rgb="FF000000"/>
      <name val="Arial"/>
    </font>
    <font>
      <sz val="12.0"/>
      <color theme="1"/>
      <name val="Arial"/>
      <scheme val="minor"/>
    </font>
    <font>
      <b/>
      <sz val="12.0"/>
      <color rgb="FFFF0000"/>
      <name val="Arial"/>
      <scheme val="minor"/>
    </font>
    <font>
      <b/>
      <sz val="12.0"/>
      <color rgb="FF3C78D8"/>
      <name val="Arial"/>
    </font>
    <font>
      <b/>
      <sz val="12.0"/>
      <color rgb="FF3C78D8"/>
      <name val="Arial"/>
      <scheme val="minor"/>
    </font>
    <font>
      <b/>
      <sz val="12.0"/>
      <color rgb="FF3C78D8"/>
      <name val="Calibri"/>
    </font>
    <font>
      <sz val="11.0"/>
      <color rgb="FF500050"/>
      <name val="Arial"/>
    </font>
    <font>
      <color rgb="FF000000"/>
      <name val="Arial"/>
    </font>
    <font>
      <b/>
      <color rgb="FF000000"/>
      <name val="Arial"/>
    </font>
    <font>
      <b/>
      <color theme="1"/>
      <name val="Arial"/>
      <scheme val="minor"/>
    </font>
    <font>
      <b/>
      <sz val="18.0"/>
      <color theme="1"/>
      <name val="Arial"/>
      <scheme val="minor"/>
    </font>
    <font>
      <b/>
      <sz val="11.0"/>
      <color rgb="FF000000"/>
      <name val="&quot;Aptos Narrow&quot;"/>
    </font>
    <font>
      <b/>
      <sz val="15.0"/>
      <color theme="1"/>
      <name val="Arial"/>
      <scheme val="minor"/>
    </font>
    <font>
      <b/>
      <sz val="12.0"/>
      <color rgb="FF38761D"/>
      <name val="Arial"/>
      <scheme val="minor"/>
    </font>
    <font>
      <b/>
      <sz val="16.0"/>
      <color theme="1"/>
      <name val="Arial"/>
      <scheme val="minor"/>
    </font>
    <font>
      <b/>
      <color rgb="FF0000FF"/>
      <name val="Arial"/>
      <scheme val="minor"/>
    </font>
    <font>
      <b/>
      <color rgb="FF980000"/>
      <name val="Arial"/>
      <scheme val="minor"/>
    </font>
    <font>
      <color rgb="FF0000FF"/>
      <name val="Arial"/>
      <scheme val="minor"/>
    </font>
    <font>
      <b/>
      <sz val="12.0"/>
      <color rgb="FF000000"/>
      <name val="Arial"/>
      <scheme val="minor"/>
    </font>
    <font>
      <b/>
      <sz val="11.0"/>
      <color theme="1"/>
      <name val="Arial"/>
      <scheme val="minor"/>
    </font>
    <font>
      <b/>
      <sz val="12.0"/>
      <color rgb="FF0000FF"/>
      <name val="Arial"/>
      <scheme val="minor"/>
    </font>
    <font>
      <b/>
      <sz val="13.0"/>
      <color theme="1"/>
      <name val="Arial"/>
      <scheme val="minor"/>
    </font>
    <font>
      <b/>
      <color rgb="FFFF0000"/>
      <name val="Arial"/>
      <scheme val="minor"/>
    </font>
    <font>
      <b/>
      <color theme="4"/>
      <name val="Arial"/>
    </font>
    <font/>
    <font>
      <u/>
      <color rgb="FF0000FF"/>
    </font>
    <font>
      <u/>
      <color rgb="FF0000FF"/>
    </font>
    <font>
      <b/>
      <sz val="13.0"/>
      <color rgb="FF000000"/>
      <name val="&quot;Aptos Narrow&quot;"/>
    </font>
    <font>
      <sz val="11.0"/>
      <color rgb="FF000000"/>
      <name val="&quot;Aptos Narrow&quot;"/>
    </font>
    <font>
      <sz val="11.0"/>
      <color rgb="FF000000"/>
      <name val="Arial"/>
    </font>
    <font>
      <b/>
      <sz val="11.0"/>
      <color rgb="FF00B050"/>
      <name val="&quot;Aptos Narrow&quot;"/>
    </font>
    <font>
      <b/>
      <sz val="13.0"/>
      <color rgb="FF000000"/>
      <name val="Arial"/>
    </font>
    <font>
      <b/>
      <sz val="11.0"/>
      <color rgb="FF00B050"/>
      <name val="Arial"/>
    </font>
    <font>
      <b/>
      <sz val="11.0"/>
      <color rgb="FF000000"/>
      <name val="Arial"/>
    </font>
    <font>
      <b/>
      <sz val="21.0"/>
      <color theme="1"/>
      <name val="Arial"/>
      <scheme val="minor"/>
    </font>
    <font>
      <b/>
      <sz val="14.0"/>
      <color rgb="FF000000"/>
      <name val="&quot;Aptos Narrow&quot;"/>
    </font>
    <font>
      <b/>
      <i/>
      <sz val="11.0"/>
      <color rgb="FF000000"/>
      <name val="&quot;Aptos Narrow&quot;"/>
    </font>
    <font>
      <i/>
      <sz val="11.0"/>
      <color rgb="FF000000"/>
      <name val="&quot;Aptos Narrow&quot;"/>
    </font>
    <font>
      <i/>
      <sz val="11.0"/>
      <color rgb="FF000000"/>
      <name val="Arial"/>
    </font>
    <font>
      <sz val="13.0"/>
      <color theme="1"/>
      <name val="Arial"/>
      <scheme val="minor"/>
    </font>
    <font>
      <b/>
      <sz val="13.0"/>
      <color rgb="FFFF0000"/>
      <name val="Arial"/>
    </font>
    <font>
      <b/>
      <sz val="13.0"/>
      <color rgb="FF353535"/>
      <name val="Arial"/>
    </font>
    <font>
      <b/>
      <sz val="12.0"/>
      <color rgb="FFFF0000"/>
      <name val="Arial"/>
    </font>
    <font>
      <b/>
      <sz val="11.0"/>
      <color rgb="FFFF0000"/>
      <name val="Calibri"/>
    </font>
    <font>
      <color rgb="FFFF0000"/>
      <name val="Arial"/>
      <scheme val="minor"/>
    </font>
    <font>
      <b/>
      <sz val="14.0"/>
      <color rgb="FF000000"/>
      <name val="Arial"/>
    </font>
    <font>
      <sz val="11.0"/>
      <color rgb="FF000000"/>
      <name val="Calibri"/>
    </font>
    <font>
      <color rgb="FFCC0000"/>
      <name val="Arial"/>
      <scheme val="minor"/>
    </font>
    <font>
      <b/>
      <sz val="24.0"/>
      <color rgb="FF000000"/>
      <name val="Arial"/>
    </font>
    <font>
      <b/>
      <sz val="18.0"/>
      <color rgb="FF000000"/>
      <name val="Arial"/>
    </font>
    <font>
      <b/>
      <sz val="12.0"/>
      <color rgb="FF000000"/>
      <name val="Arial"/>
    </font>
    <font>
      <b/>
      <sz val="14.0"/>
      <color rgb="FF38761D"/>
      <name val="Arial"/>
    </font>
    <font>
      <color rgb="FF000000"/>
      <name val="Roboto"/>
    </font>
  </fonts>
  <fills count="7">
    <fill>
      <patternFill patternType="none"/>
    </fill>
    <fill>
      <patternFill patternType="lightGray"/>
    </fill>
    <fill>
      <patternFill patternType="solid">
        <fgColor rgb="FFF2F5F7"/>
        <bgColor rgb="FFF2F5F7"/>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7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1" fillId="0" fontId="4" numFmtId="0" xfId="0" applyAlignment="1" applyBorder="1" applyFont="1">
      <alignment readingOrder="0"/>
    </xf>
    <xf borderId="2" fillId="0" fontId="4" numFmtId="0" xfId="0" applyAlignment="1" applyBorder="1" applyFont="1">
      <alignment readingOrder="0"/>
    </xf>
    <xf borderId="0" fillId="0" fontId="2" numFmtId="0" xfId="0" applyAlignment="1" applyFont="1">
      <alignment readingOrder="0"/>
    </xf>
    <xf borderId="3" fillId="0" fontId="3" numFmtId="0" xfId="0" applyAlignment="1" applyBorder="1" applyFont="1">
      <alignment readingOrder="0" shrinkToFit="0" wrapText="1"/>
    </xf>
    <xf borderId="1" fillId="0" fontId="3" numFmtId="0" xfId="0" applyAlignment="1" applyBorder="1" applyFont="1">
      <alignment readingOrder="0" shrinkToFit="0" wrapText="1"/>
    </xf>
    <xf borderId="1" fillId="0" fontId="3" numFmtId="164" xfId="0" applyAlignment="1" applyBorder="1" applyFont="1" applyNumberFormat="1">
      <alignment readingOrder="0" shrinkToFit="0" wrapText="1"/>
    </xf>
    <xf borderId="1" fillId="0" fontId="5" numFmtId="0" xfId="0" applyAlignment="1" applyBorder="1" applyFont="1">
      <alignment readingOrder="0" shrinkToFit="0" wrapText="1"/>
    </xf>
    <xf borderId="1" fillId="0" fontId="5" numFmtId="164" xfId="0" applyAlignment="1" applyBorder="1" applyFont="1" applyNumberFormat="1">
      <alignment readingOrder="0" shrinkToFit="0" wrapText="1"/>
    </xf>
    <xf borderId="0" fillId="0" fontId="5" numFmtId="0" xfId="0" applyAlignment="1" applyFont="1">
      <alignment readingOrder="0" shrinkToFit="0" wrapText="1"/>
    </xf>
    <xf borderId="1" fillId="0" fontId="2" numFmtId="0" xfId="0" applyAlignment="1" applyBorder="1" applyFont="1">
      <alignment readingOrder="0"/>
    </xf>
    <xf borderId="1" fillId="0" fontId="3" numFmtId="1" xfId="0" applyAlignment="1" applyBorder="1" applyFont="1" applyNumberFormat="1">
      <alignment readingOrder="0" shrinkToFit="0" wrapText="1"/>
    </xf>
    <xf borderId="1" fillId="0" fontId="3" numFmtId="10" xfId="0" applyAlignment="1" applyBorder="1" applyFont="1" applyNumberFormat="1">
      <alignment readingOrder="0" shrinkToFit="0" wrapText="1"/>
    </xf>
    <xf borderId="1" fillId="0" fontId="3" numFmtId="164" xfId="0" applyAlignment="1" applyBorder="1" applyFont="1" applyNumberFormat="1">
      <alignment readingOrder="0"/>
    </xf>
    <xf borderId="1" fillId="0" fontId="2" numFmtId="0" xfId="0" applyBorder="1" applyFont="1"/>
    <xf borderId="1" fillId="0" fontId="3" numFmtId="10" xfId="0" applyAlignment="1" applyBorder="1" applyFont="1" applyNumberFormat="1">
      <alignment readingOrder="0"/>
    </xf>
    <xf borderId="1" fillId="0" fontId="3" numFmtId="0" xfId="0" applyAlignment="1" applyBorder="1" applyFont="1">
      <alignment readingOrder="0"/>
    </xf>
    <xf borderId="1" fillId="0" fontId="6" numFmtId="0" xfId="0" applyAlignment="1" applyBorder="1" applyFont="1">
      <alignment readingOrder="0" shrinkToFit="0" wrapText="1"/>
    </xf>
    <xf borderId="0" fillId="0" fontId="2" numFmtId="0" xfId="0" applyFont="1"/>
    <xf borderId="1" fillId="2" fontId="7" numFmtId="49" xfId="0" applyAlignment="1" applyBorder="1" applyFill="1" applyFont="1" applyNumberFormat="1">
      <alignment readingOrder="0" shrinkToFit="0" vertical="top" wrapText="1"/>
    </xf>
    <xf borderId="1" fillId="0" fontId="8" numFmtId="3" xfId="0" applyAlignment="1" applyBorder="1" applyFont="1" applyNumberFormat="1">
      <alignment readingOrder="0"/>
    </xf>
    <xf borderId="1" fillId="0" fontId="8" numFmtId="10" xfId="0" applyAlignment="1" applyBorder="1" applyFont="1" applyNumberFormat="1">
      <alignment readingOrder="0"/>
    </xf>
    <xf borderId="1" fillId="0" fontId="8" numFmtId="164" xfId="0" applyBorder="1" applyFont="1" applyNumberFormat="1"/>
    <xf borderId="1" fillId="0" fontId="9" numFmtId="164" xfId="0" applyBorder="1" applyFont="1" applyNumberFormat="1"/>
    <xf borderId="1" fillId="0" fontId="8" numFmtId="0" xfId="0" applyAlignment="1" applyBorder="1" applyFont="1">
      <alignment readingOrder="0"/>
    </xf>
    <xf borderId="1" fillId="0" fontId="8" numFmtId="0" xfId="0" applyAlignment="1" applyBorder="1" applyFont="1">
      <alignment readingOrder="0" shrinkToFit="0" wrapText="1"/>
    </xf>
    <xf borderId="1" fillId="0" fontId="8" numFmtId="0" xfId="0" applyAlignment="1" applyBorder="1" applyFont="1">
      <alignment shrinkToFit="0" wrapText="1"/>
    </xf>
    <xf borderId="1" fillId="0" fontId="8" numFmtId="0" xfId="0" applyBorder="1" applyFont="1"/>
    <xf borderId="1" fillId="0" fontId="8" numFmtId="1" xfId="0" applyBorder="1" applyFont="1" applyNumberFormat="1"/>
    <xf borderId="1" fillId="0" fontId="8" numFmtId="164" xfId="0" applyAlignment="1" applyBorder="1" applyFont="1" applyNumberFormat="1">
      <alignment readingOrder="0" shrinkToFit="0" wrapText="1"/>
    </xf>
    <xf borderId="1" fillId="0" fontId="8" numFmtId="164" xfId="0" applyAlignment="1" applyBorder="1" applyFont="1" applyNumberFormat="1">
      <alignment shrinkToFit="0" wrapText="1"/>
    </xf>
    <xf borderId="1" fillId="2" fontId="7" numFmtId="49" xfId="0" applyAlignment="1" applyBorder="1" applyFont="1" applyNumberFormat="1">
      <alignment shrinkToFit="0" vertical="top" wrapText="1"/>
    </xf>
    <xf borderId="1" fillId="2" fontId="10" numFmtId="49" xfId="0" applyAlignment="1" applyBorder="1" applyFont="1" applyNumberFormat="1">
      <alignment shrinkToFit="0" vertical="top" wrapText="1"/>
    </xf>
    <xf borderId="1" fillId="0" fontId="11" numFmtId="3" xfId="0" applyAlignment="1" applyBorder="1" applyFont="1" applyNumberFormat="1">
      <alignment readingOrder="0"/>
    </xf>
    <xf borderId="1" fillId="0" fontId="12" numFmtId="3" xfId="0" applyAlignment="1" applyBorder="1" applyFont="1" applyNumberFormat="1">
      <alignment readingOrder="0" shrinkToFit="0" vertical="bottom" wrapText="0"/>
    </xf>
    <xf borderId="0" fillId="0" fontId="2" numFmtId="164" xfId="0" applyFont="1" applyNumberFormat="1"/>
    <xf borderId="1" fillId="0" fontId="3" numFmtId="3" xfId="0" applyBorder="1" applyFont="1" applyNumberFormat="1"/>
    <xf borderId="1" fillId="0" fontId="3" numFmtId="9" xfId="0" applyBorder="1" applyFont="1" applyNumberFormat="1"/>
    <xf borderId="1" fillId="0" fontId="3" numFmtId="164" xfId="0" applyBorder="1" applyFont="1" applyNumberFormat="1"/>
    <xf borderId="1" fillId="0" fontId="3" numFmtId="3" xfId="0" applyAlignment="1" applyBorder="1" applyFont="1" applyNumberFormat="1">
      <alignment readingOrder="0"/>
    </xf>
    <xf borderId="1" fillId="0" fontId="6" numFmtId="164" xfId="0" applyBorder="1" applyFont="1" applyNumberFormat="1"/>
    <xf borderId="1" fillId="0" fontId="3" numFmtId="1" xfId="0" applyBorder="1" applyFont="1" applyNumberFormat="1"/>
    <xf borderId="0" fillId="0" fontId="2" numFmtId="0" xfId="0" applyAlignment="1" applyFont="1">
      <alignment shrinkToFit="0" wrapText="1"/>
    </xf>
    <xf borderId="0" fillId="0" fontId="2" numFmtId="3" xfId="0" applyAlignment="1" applyFont="1" applyNumberFormat="1">
      <alignment readingOrder="0"/>
    </xf>
    <xf borderId="0" fillId="0" fontId="3" numFmtId="0" xfId="0" applyAlignment="1" applyFont="1">
      <alignment readingOrder="0"/>
    </xf>
    <xf borderId="0" fillId="0" fontId="3" numFmtId="10" xfId="0" applyFont="1" applyNumberFormat="1"/>
    <xf borderId="0" fillId="0" fontId="2" numFmtId="164" xfId="0" applyAlignment="1" applyFont="1" applyNumberFormat="1">
      <alignment readingOrder="0"/>
    </xf>
    <xf borderId="0" fillId="0" fontId="3" numFmtId="1" xfId="0" applyAlignment="1" applyFont="1" applyNumberFormat="1">
      <alignment readingOrder="0"/>
    </xf>
    <xf borderId="0" fillId="0" fontId="5" numFmtId="164" xfId="0" applyFont="1" applyNumberFormat="1"/>
    <xf borderId="0" fillId="3" fontId="13" numFmtId="0" xfId="0" applyAlignment="1" applyFill="1" applyFont="1">
      <alignment readingOrder="0" shrinkToFit="0" wrapText="1"/>
    </xf>
    <xf borderId="0" fillId="0" fontId="5" numFmtId="1" xfId="0" applyFont="1" applyNumberFormat="1"/>
    <xf borderId="0" fillId="0" fontId="14" numFmtId="0" xfId="0" applyAlignment="1" applyFont="1">
      <alignment shrinkToFit="0" vertical="bottom" wrapText="0"/>
    </xf>
    <xf borderId="0" fillId="0" fontId="15" numFmtId="0" xfId="0" applyAlignment="1" applyFont="1">
      <alignment horizontal="right" readingOrder="0" shrinkToFit="0" vertical="bottom" wrapText="0"/>
    </xf>
    <xf borderId="3" fillId="0" fontId="14" numFmtId="0" xfId="0" applyAlignment="1" applyBorder="1" applyFont="1">
      <alignment horizontal="right" readingOrder="0" shrinkToFit="0" vertical="bottom" wrapText="0"/>
    </xf>
    <xf borderId="4" fillId="0" fontId="14" numFmtId="0" xfId="0" applyAlignment="1" applyBorder="1" applyFont="1">
      <alignment horizontal="right" readingOrder="0" shrinkToFit="0" vertical="bottom" wrapText="0"/>
    </xf>
    <xf borderId="4" fillId="0" fontId="14" numFmtId="165" xfId="0" applyAlignment="1" applyBorder="1" applyFont="1" applyNumberFormat="1">
      <alignment horizontal="right" readingOrder="0" shrinkToFit="0" vertical="bottom" wrapText="0"/>
    </xf>
    <xf borderId="4" fillId="3" fontId="14" numFmtId="0" xfId="0" applyAlignment="1" applyBorder="1" applyFont="1">
      <alignment horizontal="right" readingOrder="0" shrinkToFit="0" vertical="bottom" wrapText="0"/>
    </xf>
    <xf borderId="4" fillId="3" fontId="14" numFmtId="165" xfId="0" applyAlignment="1" applyBorder="1" applyFont="1" applyNumberFormat="1">
      <alignment horizontal="right" readingOrder="0" shrinkToFit="0" vertical="bottom" wrapText="0"/>
    </xf>
    <xf borderId="0" fillId="0" fontId="16" numFmtId="0" xfId="0" applyAlignment="1" applyFont="1">
      <alignment horizontal="right" readingOrder="0" shrinkToFit="0" wrapText="1"/>
    </xf>
    <xf borderId="0" fillId="0" fontId="17" numFmtId="0" xfId="0" applyAlignment="1" applyFont="1">
      <alignment readingOrder="0" shrinkToFit="0" wrapText="1"/>
    </xf>
    <xf borderId="0" fillId="0" fontId="18" numFmtId="0" xfId="0" applyAlignment="1" applyFont="1">
      <alignment readingOrder="0" shrinkToFit="0" vertical="center" wrapText="0"/>
    </xf>
    <xf borderId="1" fillId="0" fontId="19" numFmtId="0" xfId="0" applyAlignment="1" applyBorder="1" applyFont="1">
      <alignment readingOrder="0"/>
    </xf>
    <xf borderId="1" fillId="0" fontId="5" numFmtId="0" xfId="0" applyAlignment="1" applyBorder="1" applyFont="1">
      <alignment readingOrder="0"/>
    </xf>
    <xf borderId="1" fillId="4" fontId="8" numFmtId="0" xfId="0" applyAlignment="1" applyBorder="1" applyFill="1" applyFont="1">
      <alignment readingOrder="0"/>
    </xf>
    <xf borderId="1" fillId="0" fontId="8" numFmtId="3" xfId="0" applyBorder="1" applyFont="1" applyNumberFormat="1"/>
    <xf borderId="1" fillId="0" fontId="5" numFmtId="3" xfId="0" applyBorder="1" applyFont="1" applyNumberFormat="1"/>
    <xf borderId="1" fillId="0" fontId="20" numFmtId="165" xfId="0" applyAlignment="1" applyBorder="1" applyFont="1" applyNumberFormat="1">
      <alignment readingOrder="0"/>
    </xf>
    <xf borderId="1" fillId="0" fontId="5" numFmtId="0" xfId="0" applyBorder="1" applyFont="1"/>
    <xf borderId="1" fillId="0" fontId="2" numFmtId="0" xfId="0" applyAlignment="1" applyBorder="1" applyFont="1">
      <alignment horizontal="right" readingOrder="0"/>
    </xf>
    <xf borderId="1" fillId="4" fontId="8" numFmtId="165" xfId="0" applyAlignment="1" applyBorder="1" applyFont="1" applyNumberFormat="1">
      <alignment readingOrder="0"/>
    </xf>
    <xf borderId="1" fillId="0" fontId="2" numFmtId="165" xfId="0" applyAlignment="1" applyBorder="1" applyFont="1" applyNumberFormat="1">
      <alignment readingOrder="0"/>
    </xf>
    <xf borderId="1" fillId="0" fontId="2" numFmtId="2" xfId="0" applyAlignment="1" applyBorder="1" applyFont="1" applyNumberFormat="1">
      <alignment readingOrder="0"/>
    </xf>
    <xf borderId="1" fillId="0" fontId="20" numFmtId="0" xfId="0" applyAlignment="1" applyBorder="1" applyFont="1">
      <alignment readingOrder="0"/>
    </xf>
    <xf borderId="1" fillId="0" fontId="20" numFmtId="1" xfId="0" applyAlignment="1" applyBorder="1" applyFont="1" applyNumberFormat="1">
      <alignment readingOrder="0"/>
    </xf>
    <xf borderId="1" fillId="4" fontId="8" numFmtId="1" xfId="0" applyAlignment="1" applyBorder="1" applyFont="1" applyNumberFormat="1">
      <alignment readingOrder="0"/>
    </xf>
    <xf borderId="1" fillId="0" fontId="8" numFmtId="2" xfId="0" applyBorder="1" applyFont="1" applyNumberFormat="1"/>
    <xf borderId="0" fillId="0" fontId="8" numFmtId="0" xfId="0" applyFont="1"/>
    <xf borderId="0" fillId="0" fontId="21" numFmtId="0" xfId="0" applyAlignment="1" applyFont="1">
      <alignment readingOrder="0" shrinkToFit="0" wrapText="1"/>
    </xf>
    <xf borderId="1" fillId="0" fontId="8" numFmtId="3" xfId="0" applyAlignment="1" applyBorder="1" applyFont="1" applyNumberFormat="1">
      <alignment readingOrder="0" shrinkToFit="0" wrapText="1"/>
    </xf>
    <xf borderId="0" fillId="0" fontId="22" numFmtId="0" xfId="0" applyAlignment="1" applyFont="1">
      <alignment readingOrder="0" shrinkToFit="0" wrapText="1"/>
    </xf>
    <xf borderId="0" fillId="0" fontId="23" numFmtId="0" xfId="0" applyAlignment="1" applyFont="1">
      <alignment readingOrder="0" shrinkToFit="0" vertical="top" wrapText="1"/>
    </xf>
    <xf borderId="0" fillId="0" fontId="23" numFmtId="0" xfId="0" applyAlignment="1" applyFont="1">
      <alignment readingOrder="0" shrinkToFit="0" wrapText="1"/>
    </xf>
    <xf borderId="0" fillId="0" fontId="24" numFmtId="0" xfId="0" applyAlignment="1" applyFont="1">
      <alignment readingOrder="0" shrinkToFit="0" wrapText="1"/>
    </xf>
    <xf borderId="1" fillId="0" fontId="25" numFmtId="3" xfId="0" applyBorder="1" applyFont="1" applyNumberFormat="1"/>
    <xf borderId="1" fillId="0" fontId="25" numFmtId="164" xfId="0" applyBorder="1" applyFont="1" applyNumberFormat="1"/>
    <xf borderId="1" fillId="0" fontId="5" numFmtId="164" xfId="0" applyBorder="1" applyFont="1" applyNumberFormat="1"/>
    <xf borderId="1" fillId="0" fontId="9" numFmtId="3" xfId="0" applyBorder="1" applyFont="1" applyNumberFormat="1"/>
    <xf borderId="0" fillId="0" fontId="26" numFmtId="0" xfId="0" applyAlignment="1" applyFont="1">
      <alignment readingOrder="0" shrinkToFit="0" wrapText="1"/>
    </xf>
    <xf borderId="1" fillId="0" fontId="2" numFmtId="0" xfId="0" applyAlignment="1" applyBorder="1" applyFont="1">
      <alignment shrinkToFit="0" wrapText="1"/>
    </xf>
    <xf borderId="1" fillId="0" fontId="27" numFmtId="3" xfId="0" applyBorder="1" applyFont="1" applyNumberFormat="1"/>
    <xf borderId="0" fillId="0" fontId="22" numFmtId="0" xfId="0" applyAlignment="1" applyFont="1">
      <alignment readingOrder="0"/>
    </xf>
    <xf borderId="0" fillId="0" fontId="28" numFmtId="0" xfId="0" applyAlignment="1" applyFont="1">
      <alignment readingOrder="0" shrinkToFit="0" wrapText="1"/>
    </xf>
    <xf borderId="0" fillId="0" fontId="29" numFmtId="0" xfId="0" applyAlignment="1" applyFont="1">
      <alignment readingOrder="0"/>
    </xf>
    <xf borderId="0" fillId="0" fontId="22" numFmtId="0" xfId="0" applyFont="1"/>
    <xf borderId="0" fillId="0" fontId="22" numFmtId="0" xfId="0" applyAlignment="1" applyFont="1">
      <alignment horizontal="right" readingOrder="0"/>
    </xf>
    <xf borderId="0" fillId="0" fontId="2" numFmtId="165" xfId="0" applyFont="1" applyNumberFormat="1"/>
    <xf borderId="1" fillId="0" fontId="2" numFmtId="0" xfId="0" applyAlignment="1" applyBorder="1" applyFont="1">
      <alignment readingOrder="0" shrinkToFit="0" wrapText="1"/>
    </xf>
    <xf borderId="0" fillId="0" fontId="30" numFmtId="0" xfId="0" applyAlignment="1" applyFont="1">
      <alignment horizontal="right" readingOrder="0" shrinkToFit="0" vertical="bottom" wrapText="0"/>
    </xf>
    <xf borderId="0" fillId="0" fontId="29" numFmtId="0" xfId="0" applyAlignment="1" applyFont="1">
      <alignment readingOrder="0" shrinkToFit="0" wrapText="1"/>
    </xf>
    <xf borderId="1" fillId="5" fontId="2" numFmtId="0" xfId="0" applyAlignment="1" applyBorder="1" applyFill="1" applyFont="1">
      <alignment readingOrder="0" shrinkToFit="0" wrapText="1"/>
    </xf>
    <xf borderId="1" fillId="5" fontId="2" numFmtId="0" xfId="0" applyAlignment="1" applyBorder="1" applyFont="1">
      <alignment readingOrder="0"/>
    </xf>
    <xf borderId="1" fillId="5" fontId="2" numFmtId="0" xfId="0" applyBorder="1" applyFont="1"/>
    <xf borderId="0" fillId="5" fontId="22" numFmtId="0" xfId="0" applyAlignment="1" applyFont="1">
      <alignment readingOrder="0"/>
    </xf>
    <xf borderId="0" fillId="5" fontId="2" numFmtId="0" xfId="0" applyAlignment="1" applyFont="1">
      <alignment readingOrder="0"/>
    </xf>
    <xf borderId="1" fillId="5" fontId="2" numFmtId="165" xfId="0" applyBorder="1" applyFont="1" applyNumberFormat="1"/>
    <xf borderId="1" fillId="5" fontId="2" numFmtId="165" xfId="0" applyAlignment="1" applyBorder="1" applyFont="1" applyNumberFormat="1">
      <alignment readingOrder="0"/>
    </xf>
    <xf borderId="0" fillId="5" fontId="16" numFmtId="0" xfId="0" applyAlignment="1" applyFont="1">
      <alignment horizontal="right" readingOrder="0" shrinkToFit="0" wrapText="1"/>
    </xf>
    <xf borderId="0" fillId="5" fontId="2" numFmtId="0" xfId="0" applyFont="1"/>
    <xf borderId="5" fillId="0" fontId="5" numFmtId="0" xfId="0" applyAlignment="1" applyBorder="1" applyFont="1">
      <alignment readingOrder="0"/>
    </xf>
    <xf borderId="6" fillId="0" fontId="31" numFmtId="0" xfId="0" applyBorder="1" applyFont="1"/>
    <xf borderId="2" fillId="0" fontId="31" numFmtId="0" xfId="0" applyBorder="1" applyFont="1"/>
    <xf borderId="5" fillId="0" fontId="8" numFmtId="0" xfId="0" applyAlignment="1" applyBorder="1" applyFont="1">
      <alignment readingOrder="0"/>
    </xf>
    <xf borderId="5" fillId="0" fontId="32" numFmtId="0" xfId="0" applyAlignment="1" applyBorder="1" applyFont="1">
      <alignment readingOrder="0"/>
    </xf>
    <xf borderId="5" fillId="0" fontId="33" numFmtId="0" xfId="0" applyAlignment="1" applyBorder="1" applyFont="1">
      <alignment readingOrder="0"/>
    </xf>
    <xf borderId="5" fillId="0" fontId="8" numFmtId="0" xfId="0" applyBorder="1" applyFont="1"/>
    <xf borderId="5" fillId="0" fontId="2" numFmtId="0" xfId="0" applyBorder="1" applyFont="1"/>
    <xf borderId="1" fillId="0" fontId="16" numFmtId="0" xfId="0" applyAlignment="1" applyBorder="1" applyFont="1">
      <alignment readingOrder="0" shrinkToFit="0" wrapText="1"/>
    </xf>
    <xf borderId="1" fillId="0" fontId="16" numFmtId="0" xfId="0" applyAlignment="1" applyBorder="1" applyFont="1">
      <alignment readingOrder="0"/>
    </xf>
    <xf borderId="1" fillId="0" fontId="2" numFmtId="166" xfId="0" applyAlignment="1" applyBorder="1" applyFont="1" applyNumberFormat="1">
      <alignment readingOrder="0"/>
    </xf>
    <xf borderId="0" fillId="0" fontId="16" numFmtId="0" xfId="0" applyAlignment="1" applyFont="1">
      <alignment readingOrder="0" shrinkToFit="0" wrapText="1"/>
    </xf>
    <xf borderId="1" fillId="0" fontId="2" numFmtId="3" xfId="0" applyAlignment="1" applyBorder="1" applyFont="1" applyNumberFormat="1">
      <alignment readingOrder="0"/>
    </xf>
    <xf borderId="1" fillId="0" fontId="2" numFmtId="164" xfId="0" applyBorder="1" applyFont="1" applyNumberFormat="1"/>
    <xf borderId="1" fillId="0" fontId="2" numFmtId="3" xfId="0" applyBorder="1" applyFont="1" applyNumberFormat="1"/>
    <xf borderId="1" fillId="0" fontId="16" numFmtId="3" xfId="0" applyBorder="1" applyFont="1" applyNumberFormat="1"/>
    <xf borderId="1" fillId="0" fontId="16" numFmtId="164" xfId="0" applyAlignment="1" applyBorder="1" applyFont="1" applyNumberFormat="1">
      <alignment readingOrder="0"/>
    </xf>
    <xf borderId="0" fillId="0" fontId="2" numFmtId="3" xfId="0" applyFont="1" applyNumberFormat="1"/>
    <xf borderId="1" fillId="0" fontId="16" numFmtId="3" xfId="0" applyAlignment="1" applyBorder="1" applyFont="1" applyNumberFormat="1">
      <alignment readingOrder="0"/>
    </xf>
    <xf borderId="1" fillId="0" fontId="2" numFmtId="10" xfId="0" applyAlignment="1" applyBorder="1" applyFont="1" applyNumberFormat="1">
      <alignment readingOrder="0"/>
    </xf>
    <xf borderId="0" fillId="0" fontId="34" numFmtId="0" xfId="0" applyAlignment="1" applyFont="1">
      <alignment readingOrder="0" shrinkToFit="0" vertical="bottom" wrapText="0"/>
    </xf>
    <xf borderId="0" fillId="0" fontId="35" numFmtId="0" xfId="0" applyAlignment="1" applyFont="1">
      <alignment shrinkToFit="0" vertical="bottom" wrapText="0"/>
    </xf>
    <xf borderId="0" fillId="0" fontId="16" numFmtId="0" xfId="0" applyAlignment="1" applyFont="1">
      <alignment readingOrder="0"/>
    </xf>
    <xf borderId="0" fillId="0" fontId="18" numFmtId="0" xfId="0" applyAlignment="1" applyFont="1">
      <alignment readingOrder="0" shrinkToFit="0" vertical="bottom" wrapText="0"/>
    </xf>
    <xf borderId="0" fillId="0" fontId="36" numFmtId="0" xfId="0" applyAlignment="1" applyFont="1">
      <alignment readingOrder="0" shrinkToFit="0" vertical="bottom" wrapText="0"/>
    </xf>
    <xf borderId="0" fillId="0" fontId="36" numFmtId="3" xfId="0" applyAlignment="1" applyFont="1" applyNumberFormat="1">
      <alignment readingOrder="0" shrinkToFit="0" vertical="bottom" wrapText="0"/>
    </xf>
    <xf borderId="0" fillId="0" fontId="35" numFmtId="0" xfId="0" applyAlignment="1" applyFont="1">
      <alignment horizontal="right" readingOrder="0" shrinkToFit="0" vertical="bottom" wrapText="0"/>
    </xf>
    <xf borderId="0" fillId="0" fontId="35" numFmtId="3" xfId="0" applyAlignment="1" applyFont="1" applyNumberFormat="1">
      <alignment readingOrder="0" shrinkToFit="0" vertical="bottom" wrapText="0"/>
    </xf>
    <xf borderId="0" fillId="0" fontId="35" numFmtId="0" xfId="0" applyAlignment="1" applyFont="1">
      <alignment readingOrder="0" shrinkToFit="0" vertical="bottom" wrapText="0"/>
    </xf>
    <xf borderId="0" fillId="0" fontId="18" numFmtId="0" xfId="0" applyAlignment="1" applyFont="1">
      <alignment horizontal="right" readingOrder="0" shrinkToFit="0" vertical="bottom" wrapText="0"/>
    </xf>
    <xf borderId="0" fillId="0" fontId="18" numFmtId="3" xfId="0" applyAlignment="1" applyFont="1" applyNumberFormat="1">
      <alignment readingOrder="0" shrinkToFit="0" vertical="bottom" wrapText="0"/>
    </xf>
    <xf borderId="0" fillId="0" fontId="37" numFmtId="4" xfId="0" applyAlignment="1" applyFont="1" applyNumberFormat="1">
      <alignment readingOrder="0" shrinkToFit="0" vertical="bottom" wrapText="0"/>
    </xf>
    <xf borderId="0" fillId="0" fontId="37" numFmtId="0" xfId="0" applyAlignment="1" applyFont="1">
      <alignment horizontal="right" readingOrder="0" shrinkToFit="0" vertical="bottom" wrapText="0"/>
    </xf>
    <xf borderId="0" fillId="0" fontId="18" numFmtId="0" xfId="0" applyAlignment="1" applyFont="1">
      <alignment horizontal="right" shrinkToFit="0" vertical="bottom" wrapText="0"/>
    </xf>
    <xf borderId="0" fillId="0" fontId="37" numFmtId="0" xfId="0" applyAlignment="1" applyFont="1">
      <alignment horizontal="right" shrinkToFit="0" vertical="bottom" wrapText="0"/>
    </xf>
    <xf borderId="0" fillId="0" fontId="36" numFmtId="0" xfId="0" applyAlignment="1" applyFont="1">
      <alignment horizontal="right" readingOrder="0" shrinkToFit="0" vertical="bottom" wrapText="0"/>
    </xf>
    <xf borderId="0" fillId="5" fontId="35" numFmtId="3" xfId="0" applyAlignment="1" applyFont="1" applyNumberFormat="1">
      <alignment readingOrder="0" shrinkToFit="0" vertical="bottom" wrapText="0"/>
    </xf>
    <xf borderId="0" fillId="5" fontId="35" numFmtId="0" xfId="0" applyAlignment="1" applyFont="1">
      <alignment horizontal="right" readingOrder="0" shrinkToFit="0" vertical="bottom" wrapText="0"/>
    </xf>
    <xf borderId="0" fillId="0" fontId="38" numFmtId="0" xfId="0" applyAlignment="1" applyFont="1">
      <alignment readingOrder="0" shrinkToFit="0" vertical="bottom" wrapText="0"/>
    </xf>
    <xf borderId="0" fillId="0" fontId="39" numFmtId="4" xfId="0" applyAlignment="1" applyFont="1" applyNumberFormat="1">
      <alignment readingOrder="0" shrinkToFit="0" vertical="bottom" wrapText="0"/>
    </xf>
    <xf borderId="0" fillId="0" fontId="16" numFmtId="0" xfId="0" applyAlignment="1" applyFont="1">
      <alignment shrinkToFit="0" wrapText="1"/>
    </xf>
    <xf borderId="0" fillId="0" fontId="2" numFmtId="3" xfId="0" applyAlignment="1" applyFont="1" applyNumberFormat="1">
      <alignment shrinkToFit="0" wrapText="1"/>
    </xf>
    <xf borderId="0" fillId="0" fontId="2" numFmtId="3" xfId="0" applyAlignment="1" applyFont="1" applyNumberFormat="1">
      <alignment readingOrder="0" shrinkToFit="0" wrapText="1"/>
    </xf>
    <xf borderId="0" fillId="5" fontId="2" numFmtId="0" xfId="0" applyAlignment="1" applyFont="1">
      <alignment shrinkToFit="0" wrapText="1"/>
    </xf>
    <xf borderId="0" fillId="5" fontId="2" numFmtId="3" xfId="0" applyAlignment="1" applyFont="1" applyNumberFormat="1">
      <alignment shrinkToFit="0" wrapText="1"/>
    </xf>
    <xf borderId="0" fillId="0" fontId="40" numFmtId="0" xfId="0" applyAlignment="1" applyFont="1">
      <alignment horizontal="right" readingOrder="0" shrinkToFit="0" vertical="bottom" wrapText="0"/>
    </xf>
    <xf borderId="0" fillId="0" fontId="38" numFmtId="0" xfId="0" applyAlignment="1" applyFont="1">
      <alignment horizontal="right" readingOrder="0" shrinkToFit="0" vertical="bottom" wrapText="0"/>
    </xf>
    <xf borderId="0" fillId="0" fontId="38" numFmtId="3" xfId="0" applyAlignment="1" applyFont="1" applyNumberFormat="1">
      <alignment readingOrder="0" shrinkToFit="0" vertical="bottom" wrapText="0"/>
    </xf>
    <xf borderId="0" fillId="0" fontId="37" numFmtId="3" xfId="0" applyAlignment="1" applyFont="1" applyNumberFormat="1">
      <alignment readingOrder="0" shrinkToFit="0" vertical="bottom" wrapText="0"/>
    </xf>
    <xf borderId="0" fillId="0" fontId="41" numFmtId="0" xfId="0" applyAlignment="1" applyFont="1">
      <alignment readingOrder="0"/>
    </xf>
    <xf borderId="0" fillId="0" fontId="8" numFmtId="0" xfId="0" applyAlignment="1" applyFont="1">
      <alignment readingOrder="0" shrinkToFit="0" wrapText="1"/>
    </xf>
    <xf borderId="0" fillId="0" fontId="8" numFmtId="0" xfId="0" applyAlignment="1" applyFont="1">
      <alignment readingOrder="0"/>
    </xf>
    <xf borderId="0" fillId="0" fontId="8" numFmtId="10" xfId="0" applyAlignment="1" applyFont="1" applyNumberFormat="1">
      <alignment readingOrder="0"/>
    </xf>
    <xf borderId="1" fillId="0" fontId="8" numFmtId="167" xfId="0" applyAlignment="1" applyBorder="1" applyFont="1" applyNumberFormat="1">
      <alignment readingOrder="0"/>
    </xf>
    <xf borderId="1" fillId="0" fontId="8" numFmtId="164" xfId="0" applyAlignment="1" applyBorder="1" applyFont="1" applyNumberFormat="1">
      <alignment readingOrder="0"/>
    </xf>
    <xf borderId="1" fillId="4" fontId="8" numFmtId="3" xfId="0" applyAlignment="1" applyBorder="1" applyFont="1" applyNumberFormat="1">
      <alignment readingOrder="0"/>
    </xf>
    <xf borderId="1" fillId="5" fontId="8" numFmtId="3" xfId="0" applyAlignment="1" applyBorder="1" applyFont="1" applyNumberFormat="1">
      <alignment readingOrder="0"/>
    </xf>
    <xf borderId="1" fillId="5" fontId="8" numFmtId="164" xfId="0" applyAlignment="1" applyBorder="1" applyFont="1" applyNumberFormat="1">
      <alignment readingOrder="0"/>
    </xf>
    <xf borderId="0" fillId="0" fontId="8" numFmtId="166" xfId="0" applyAlignment="1" applyFont="1" applyNumberFormat="1">
      <alignment readingOrder="0"/>
    </xf>
    <xf borderId="0" fillId="0" fontId="8" numFmtId="3" xfId="0" applyAlignment="1" applyFont="1" applyNumberFormat="1">
      <alignment readingOrder="0"/>
    </xf>
    <xf borderId="1" fillId="6" fontId="8" numFmtId="166" xfId="0" applyBorder="1" applyFill="1" applyFont="1" applyNumberFormat="1"/>
    <xf borderId="1" fillId="0" fontId="8" numFmtId="166" xfId="0" applyAlignment="1" applyBorder="1" applyFont="1" applyNumberFormat="1">
      <alignment readingOrder="0" shrinkToFit="0" wrapText="1"/>
    </xf>
    <xf borderId="1" fillId="0" fontId="8" numFmtId="166" xfId="0" applyBorder="1" applyFont="1" applyNumberFormat="1"/>
    <xf borderId="0" fillId="0" fontId="8" numFmtId="164" xfId="0" applyAlignment="1" applyFont="1" applyNumberFormat="1">
      <alignment readingOrder="0"/>
    </xf>
    <xf borderId="1" fillId="0" fontId="2" numFmtId="166" xfId="0" applyAlignment="1" applyBorder="1" applyFont="1" applyNumberFormat="1">
      <alignment readingOrder="0" shrinkToFit="0" wrapText="1"/>
    </xf>
    <xf borderId="0" fillId="0" fontId="42" numFmtId="0" xfId="0" applyAlignment="1" applyFont="1">
      <alignment readingOrder="0" shrinkToFit="0" vertical="bottom" wrapText="0"/>
    </xf>
    <xf borderId="0" fillId="0" fontId="18" numFmtId="0" xfId="0" applyAlignment="1" applyFont="1">
      <alignment readingOrder="0" shrinkToFit="0" vertical="bottom" wrapText="1"/>
    </xf>
    <xf borderId="0" fillId="0" fontId="43" numFmtId="0" xfId="0" applyAlignment="1" applyFont="1">
      <alignment readingOrder="0" shrinkToFit="0" vertical="bottom" wrapText="0"/>
    </xf>
    <xf borderId="0" fillId="0" fontId="44" numFmtId="0" xfId="0" applyAlignment="1" applyFont="1">
      <alignment shrinkToFit="0" vertical="bottom" wrapText="0"/>
    </xf>
    <xf borderId="0" fillId="0" fontId="35" numFmtId="0" xfId="0" applyAlignment="1" applyFont="1">
      <alignment readingOrder="0" shrinkToFit="0" vertical="top" wrapText="1"/>
    </xf>
    <xf borderId="0" fillId="0" fontId="35" numFmtId="3" xfId="0" applyAlignment="1" applyFont="1" applyNumberFormat="1">
      <alignment readingOrder="0" shrinkToFit="0" vertical="top" wrapText="0"/>
    </xf>
    <xf borderId="0" fillId="0" fontId="35" numFmtId="0" xfId="0" applyAlignment="1" applyFont="1">
      <alignment horizontal="right" readingOrder="0" shrinkToFit="0" vertical="top" wrapText="0"/>
    </xf>
    <xf borderId="0" fillId="0" fontId="44" numFmtId="3" xfId="0" applyAlignment="1" applyFont="1" applyNumberFormat="1">
      <alignment readingOrder="0" shrinkToFit="0" vertical="top" wrapText="1"/>
    </xf>
    <xf borderId="0" fillId="0" fontId="44" numFmtId="0" xfId="0" applyAlignment="1" applyFont="1">
      <alignment readingOrder="0" shrinkToFit="0" vertical="top" wrapText="1"/>
    </xf>
    <xf borderId="0" fillId="0" fontId="35" numFmtId="0" xfId="0" applyAlignment="1" applyFont="1">
      <alignment readingOrder="0" shrinkToFit="0" vertical="top" wrapText="0"/>
    </xf>
    <xf borderId="0" fillId="0" fontId="44" numFmtId="0" xfId="0" applyAlignment="1" applyFont="1">
      <alignment horizontal="left" readingOrder="0" shrinkToFit="0" vertical="top" wrapText="1"/>
    </xf>
    <xf borderId="0" fillId="0" fontId="45" numFmtId="0" xfId="0" applyAlignment="1" applyFont="1">
      <alignment horizontal="left" readingOrder="0" shrinkToFit="0" vertical="top" wrapText="1"/>
    </xf>
    <xf borderId="0" fillId="0" fontId="36" numFmtId="0" xfId="0" applyAlignment="1" applyFont="1">
      <alignment readingOrder="0" shrinkToFit="0" vertical="top" wrapText="1"/>
    </xf>
    <xf borderId="0" fillId="0" fontId="35" numFmtId="0" xfId="0" applyAlignment="1" applyFont="1">
      <alignment shrinkToFit="0" vertical="top" wrapText="1"/>
    </xf>
    <xf borderId="0" fillId="0" fontId="35" numFmtId="0" xfId="0" applyFont="1"/>
    <xf borderId="0" fillId="0" fontId="18" numFmtId="3" xfId="0" applyAlignment="1" applyFont="1" applyNumberFormat="1">
      <alignment readingOrder="0" shrinkToFit="0" wrapText="0"/>
    </xf>
    <xf borderId="0" fillId="0" fontId="5" numFmtId="0" xfId="0" applyAlignment="1" applyFont="1">
      <alignment shrinkToFit="0" wrapText="1"/>
    </xf>
    <xf borderId="0" fillId="0" fontId="8" numFmtId="49" xfId="0" applyFont="1" applyNumberFormat="1"/>
    <xf borderId="0" fillId="0" fontId="8" numFmtId="3" xfId="0" applyFont="1" applyNumberFormat="1"/>
    <xf borderId="0" fillId="0" fontId="8" numFmtId="164" xfId="0" applyFont="1" applyNumberFormat="1"/>
    <xf borderId="0" fillId="0" fontId="8" numFmtId="1" xfId="0" applyFont="1" applyNumberFormat="1"/>
    <xf borderId="0" fillId="0" fontId="46" numFmtId="0" xfId="0" applyFont="1"/>
    <xf borderId="0" fillId="0" fontId="46" numFmtId="3" xfId="0" applyFont="1" applyNumberFormat="1"/>
    <xf borderId="0" fillId="0" fontId="46" numFmtId="164" xfId="0" applyFont="1" applyNumberFormat="1"/>
    <xf borderId="0" fillId="0" fontId="46" numFmtId="1" xfId="0" applyFont="1" applyNumberFormat="1"/>
    <xf borderId="6" fillId="0" fontId="38" numFmtId="0" xfId="0" applyAlignment="1" applyBorder="1" applyFont="1">
      <alignment readingOrder="0"/>
    </xf>
    <xf borderId="6" fillId="0" fontId="38" numFmtId="3" xfId="0" applyAlignment="1" applyBorder="1" applyFont="1" applyNumberFormat="1">
      <alignment horizontal="right" readingOrder="0"/>
    </xf>
    <xf borderId="6" fillId="0" fontId="47" numFmtId="164" xfId="0" applyAlignment="1" applyBorder="1" applyFont="1" applyNumberFormat="1">
      <alignment horizontal="right" readingOrder="0"/>
    </xf>
    <xf borderId="6" fillId="0" fontId="48" numFmtId="164" xfId="0" applyAlignment="1" applyBorder="1" applyFont="1" applyNumberFormat="1">
      <alignment horizontal="right" readingOrder="0"/>
    </xf>
    <xf borderId="6" fillId="0" fontId="38" numFmtId="164" xfId="0" applyAlignment="1" applyBorder="1" applyFont="1" applyNumberFormat="1">
      <alignment horizontal="right" readingOrder="0"/>
    </xf>
    <xf borderId="6" fillId="0" fontId="38" numFmtId="0" xfId="0" applyAlignment="1" applyBorder="1" applyFont="1">
      <alignment horizontal="right" readingOrder="0"/>
    </xf>
    <xf borderId="6" fillId="0" fontId="47" numFmtId="10" xfId="0" applyAlignment="1" applyBorder="1" applyFont="1" applyNumberFormat="1">
      <alignment horizontal="right" readingOrder="0"/>
    </xf>
    <xf borderId="6" fillId="0" fontId="38" numFmtId="10" xfId="0" applyAlignment="1" applyBorder="1" applyFont="1" applyNumberFormat="1">
      <alignment horizontal="right" readingOrder="0"/>
    </xf>
    <xf borderId="0" fillId="0" fontId="1" numFmtId="0" xfId="0" applyAlignment="1" applyFont="1">
      <alignment readingOrder="0"/>
    </xf>
    <xf borderId="1" fillId="2" fontId="7" numFmtId="49" xfId="0" applyAlignment="1" applyBorder="1" applyFont="1" applyNumberFormat="1">
      <alignment readingOrder="0" vertical="top"/>
    </xf>
    <xf borderId="1" fillId="0" fontId="16" numFmtId="164" xfId="0" applyBorder="1" applyFont="1" applyNumberFormat="1"/>
    <xf borderId="1" fillId="2" fontId="7" numFmtId="49" xfId="0" applyAlignment="1" applyBorder="1" applyFont="1" applyNumberFormat="1">
      <alignment vertical="top"/>
    </xf>
    <xf borderId="1" fillId="2" fontId="49" numFmtId="49" xfId="0" applyAlignment="1" applyBorder="1" applyFont="1" applyNumberFormat="1">
      <alignment vertical="top"/>
    </xf>
    <xf borderId="1" fillId="0" fontId="29" numFmtId="164" xfId="0" applyAlignment="1" applyBorder="1" applyFont="1" applyNumberFormat="1">
      <alignment readingOrder="0"/>
    </xf>
    <xf borderId="1" fillId="0" fontId="29" numFmtId="164" xfId="0" applyBorder="1" applyFont="1" applyNumberFormat="1"/>
    <xf borderId="1" fillId="0" fontId="29" numFmtId="0" xfId="0" applyAlignment="1" applyBorder="1" applyFont="1">
      <alignment readingOrder="0"/>
    </xf>
    <xf borderId="1" fillId="0" fontId="50" numFmtId="164" xfId="0" applyAlignment="1" applyBorder="1" applyFont="1" applyNumberFormat="1">
      <alignment readingOrder="0" shrinkToFit="0" vertical="bottom" wrapText="0"/>
    </xf>
    <xf borderId="0" fillId="0" fontId="50" numFmtId="164" xfId="0" applyAlignment="1" applyFont="1" applyNumberFormat="1">
      <alignment readingOrder="0" shrinkToFit="0" vertical="bottom" wrapText="0"/>
    </xf>
    <xf borderId="1" fillId="0" fontId="51" numFmtId="0" xfId="0" applyAlignment="1" applyBorder="1" applyFont="1">
      <alignment readingOrder="0"/>
    </xf>
    <xf borderId="1" fillId="0" fontId="16" numFmtId="0" xfId="0" applyBorder="1" applyFont="1"/>
    <xf borderId="0" fillId="3" fontId="13" numFmtId="0" xfId="0" applyAlignment="1" applyFont="1">
      <alignment readingOrder="0"/>
    </xf>
    <xf borderId="0" fillId="0" fontId="52" numFmtId="0" xfId="0" applyAlignment="1" applyFont="1">
      <alignment readingOrder="0" shrinkToFit="0" vertical="bottom" wrapText="0"/>
    </xf>
    <xf borderId="0" fillId="0" fontId="40" numFmtId="0" xfId="0" applyAlignment="1" applyFont="1">
      <alignment readingOrder="0" shrinkToFit="0" vertical="top" wrapText="1"/>
    </xf>
    <xf borderId="0" fillId="0" fontId="36" numFmtId="0" xfId="0" applyAlignment="1" applyFont="1">
      <alignment horizontal="right" readingOrder="0" shrinkToFit="0" vertical="top" wrapText="1"/>
    </xf>
    <xf borderId="0" fillId="0" fontId="36" numFmtId="0" xfId="0" applyAlignment="1" applyFont="1">
      <alignment horizontal="right" readingOrder="0"/>
    </xf>
    <xf borderId="1" fillId="0" fontId="8" numFmtId="0" xfId="0" applyBorder="1" applyFont="1"/>
    <xf borderId="0" fillId="0" fontId="21" numFmtId="0" xfId="0" applyAlignment="1" applyFont="1">
      <alignment readingOrder="0"/>
    </xf>
    <xf borderId="0" fillId="0" fontId="53" numFmtId="0" xfId="0" applyAlignment="1" applyFont="1">
      <alignment readingOrder="0" shrinkToFit="0" vertical="bottom" wrapText="0"/>
    </xf>
    <xf borderId="0" fillId="0" fontId="53" numFmtId="0" xfId="0" applyAlignment="1" applyFont="1">
      <alignment shrinkToFit="0" vertical="bottom" wrapText="0"/>
    </xf>
    <xf borderId="0" fillId="0" fontId="53" numFmtId="0" xfId="0" applyAlignment="1" applyFont="1">
      <alignment horizontal="right" readingOrder="0" shrinkToFit="0" vertical="bottom" wrapText="0"/>
    </xf>
    <xf borderId="0" fillId="0" fontId="53" numFmtId="4" xfId="0" applyAlignment="1" applyFont="1" applyNumberFormat="1">
      <alignment readingOrder="0" shrinkToFit="0" vertical="bottom" wrapText="0"/>
    </xf>
    <xf borderId="0" fillId="0" fontId="53" numFmtId="166" xfId="0" applyAlignment="1" applyFont="1" applyNumberFormat="1">
      <alignment horizontal="right" readingOrder="0" shrinkToFit="0" vertical="bottom" wrapText="0"/>
    </xf>
    <xf borderId="0" fillId="0" fontId="53" numFmtId="166" xfId="0" applyAlignment="1" applyFont="1" applyNumberFormat="1">
      <alignment readingOrder="0" shrinkToFit="0" vertical="bottom" wrapText="0"/>
    </xf>
    <xf borderId="0" fillId="0" fontId="53" numFmtId="166" xfId="0" applyAlignment="1" applyFont="1" applyNumberFormat="1">
      <alignment shrinkToFit="0" vertical="bottom" wrapText="0"/>
    </xf>
    <xf borderId="0" fillId="0" fontId="2" numFmtId="1" xfId="0" applyFont="1" applyNumberFormat="1"/>
    <xf borderId="0" fillId="0" fontId="4" numFmtId="164" xfId="0" applyFont="1" applyNumberFormat="1"/>
    <xf borderId="0" fillId="0" fontId="4" numFmtId="0" xfId="0" applyAlignment="1" applyFont="1">
      <alignment readingOrder="0" shrinkToFit="0" wrapText="1"/>
    </xf>
    <xf borderId="0" fillId="0" fontId="4" numFmtId="164" xfId="0" applyAlignment="1" applyFont="1" applyNumberFormat="1">
      <alignment readingOrder="0"/>
    </xf>
    <xf borderId="0" fillId="0" fontId="4" numFmtId="0" xfId="0" applyAlignment="1" applyFont="1">
      <alignment readingOrder="0"/>
    </xf>
    <xf borderId="1" fillId="0" fontId="4" numFmtId="0" xfId="0" applyAlignment="1" applyBorder="1" applyFont="1">
      <alignment readingOrder="0" shrinkToFit="0" wrapText="1"/>
    </xf>
    <xf borderId="1" fillId="0" fontId="4" numFmtId="164" xfId="0" applyAlignment="1" applyBorder="1" applyFont="1" applyNumberFormat="1">
      <alignment readingOrder="0"/>
    </xf>
    <xf borderId="0" fillId="0" fontId="4" numFmtId="0" xfId="0" applyFont="1"/>
    <xf borderId="1" fillId="0" fontId="4" numFmtId="164" xfId="0" applyBorder="1" applyFont="1" applyNumberFormat="1"/>
    <xf borderId="1" fillId="0" fontId="4" numFmtId="10" xfId="0" applyAlignment="1" applyBorder="1" applyFont="1" applyNumberFormat="1">
      <alignment readingOrder="0"/>
    </xf>
    <xf borderId="1" fillId="0" fontId="3" numFmtId="0" xfId="0" applyAlignment="1" applyBorder="1" applyFont="1">
      <alignment horizontal="right" readingOrder="0"/>
    </xf>
    <xf borderId="1" fillId="0" fontId="6" numFmtId="10" xfId="0" applyBorder="1" applyFont="1" applyNumberFormat="1"/>
    <xf borderId="0" fillId="0" fontId="2" numFmtId="10" xfId="0" applyFont="1" applyNumberFormat="1"/>
    <xf borderId="0" fillId="0" fontId="54" numFmtId="0" xfId="0" applyFont="1"/>
    <xf borderId="1" fillId="3" fontId="55" numFmtId="0" xfId="0" applyAlignment="1" applyBorder="1" applyFont="1">
      <alignment horizontal="left" readingOrder="0" shrinkToFit="0" vertical="bottom" wrapText="1"/>
    </xf>
    <xf borderId="1" fillId="3" fontId="14" numFmtId="0" xfId="0" applyAlignment="1" applyBorder="1" applyFont="1">
      <alignment horizontal="left" readingOrder="0" shrinkToFit="0" vertical="bottom" wrapText="1"/>
    </xf>
    <xf borderId="1" fillId="3" fontId="14" numFmtId="0" xfId="0" applyAlignment="1" applyBorder="1" applyFont="1">
      <alignment horizontal="left" shrinkToFit="0" vertical="bottom" wrapText="1"/>
    </xf>
    <xf borderId="1" fillId="3" fontId="14" numFmtId="0" xfId="0" applyAlignment="1" applyBorder="1" applyFont="1">
      <alignment horizontal="left" shrinkToFit="0" vertical="bottom" wrapText="1"/>
    </xf>
    <xf borderId="5" fillId="3" fontId="56" numFmtId="0" xfId="0" applyAlignment="1" applyBorder="1" applyFont="1">
      <alignment horizontal="left" readingOrder="0" shrinkToFit="0" vertical="bottom" wrapText="1"/>
    </xf>
    <xf borderId="5" fillId="3" fontId="40" numFmtId="0" xfId="0" applyAlignment="1" applyBorder="1" applyFont="1">
      <alignment horizontal="left" readingOrder="0" shrinkToFit="0" vertical="bottom" wrapText="1"/>
    </xf>
    <xf borderId="1" fillId="3" fontId="57" numFmtId="0" xfId="0" applyAlignment="1" applyBorder="1" applyFont="1">
      <alignment horizontal="left" readingOrder="0" shrinkToFit="0" vertical="bottom" wrapText="1"/>
    </xf>
    <xf borderId="1" fillId="3" fontId="7" numFmtId="0" xfId="0" applyAlignment="1" applyBorder="1" applyFont="1">
      <alignment horizontal="left" readingOrder="0" shrinkToFit="0" vertical="bottom" wrapText="1"/>
    </xf>
    <xf borderId="1" fillId="3" fontId="7" numFmtId="164" xfId="0" applyAlignment="1" applyBorder="1" applyFont="1" applyNumberFormat="1">
      <alignment horizontal="right" readingOrder="0" shrinkToFit="0" vertical="bottom" wrapText="1"/>
    </xf>
    <xf borderId="0" fillId="0" fontId="54" numFmtId="0" xfId="0" applyAlignment="1" applyFont="1">
      <alignment readingOrder="0"/>
    </xf>
    <xf borderId="1" fillId="3" fontId="57" numFmtId="3" xfId="0" applyAlignment="1" applyBorder="1" applyFont="1" applyNumberFormat="1">
      <alignment horizontal="right" readingOrder="0" shrinkToFit="0" vertical="bottom" wrapText="1"/>
    </xf>
    <xf borderId="1" fillId="3" fontId="57" numFmtId="164" xfId="0" applyAlignment="1" applyBorder="1" applyFont="1" applyNumberFormat="1">
      <alignment horizontal="right" readingOrder="0" shrinkToFit="0" vertical="bottom" wrapText="1"/>
    </xf>
    <xf borderId="1" fillId="3" fontId="15" numFmtId="0" xfId="0" applyAlignment="1" applyBorder="1" applyFont="1">
      <alignment horizontal="left" shrinkToFit="0" vertical="bottom" wrapText="1"/>
    </xf>
    <xf borderId="5" fillId="3" fontId="52" numFmtId="0" xfId="0" applyAlignment="1" applyBorder="1" applyFont="1">
      <alignment horizontal="left" readingOrder="0" shrinkToFit="0" vertical="bottom" wrapText="1"/>
    </xf>
    <xf borderId="1" fillId="3" fontId="7" numFmtId="9" xfId="0" applyAlignment="1" applyBorder="1" applyFont="1" applyNumberFormat="1">
      <alignment horizontal="right" readingOrder="0" shrinkToFit="0" vertical="bottom" wrapText="1"/>
    </xf>
    <xf borderId="1" fillId="3" fontId="52" numFmtId="0" xfId="0" applyAlignment="1" applyBorder="1" applyFont="1">
      <alignment horizontal="right" readingOrder="0" shrinkToFit="0" vertical="bottom" wrapText="1"/>
    </xf>
    <xf borderId="1" fillId="3" fontId="52" numFmtId="164" xfId="0" applyAlignment="1" applyBorder="1" applyFont="1" applyNumberFormat="1">
      <alignment horizontal="right" readingOrder="0" shrinkToFit="0" vertical="bottom" wrapText="1"/>
    </xf>
    <xf borderId="1" fillId="3" fontId="58" numFmtId="0" xfId="0" applyAlignment="1" applyBorder="1" applyFont="1">
      <alignment horizontal="right" readingOrder="0" shrinkToFit="0" vertical="bottom" wrapText="1"/>
    </xf>
    <xf borderId="1" fillId="3" fontId="58" numFmtId="164" xfId="0" applyAlignment="1" applyBorder="1" applyFont="1" applyNumberFormat="1">
      <alignment horizontal="right" readingOrder="0" shrinkToFit="0" vertical="bottom" wrapText="0"/>
    </xf>
    <xf borderId="1" fillId="3" fontId="58" numFmtId="9" xfId="0" applyAlignment="1" applyBorder="1" applyFont="1" applyNumberFormat="1">
      <alignment horizontal="right" readingOrder="0" shrinkToFit="0" vertical="bottom" wrapText="1"/>
    </xf>
    <xf borderId="5" fillId="3" fontId="56" numFmtId="0" xfId="0" applyAlignment="1" applyBorder="1" applyFont="1">
      <alignment horizontal="left" readingOrder="0" shrinkToFit="0" vertical="bottom" wrapText="0"/>
    </xf>
    <xf borderId="5" fillId="3" fontId="40" numFmtId="0" xfId="0" applyAlignment="1" applyBorder="1" applyFont="1">
      <alignment horizontal="left" readingOrder="0" shrinkToFit="0" vertical="bottom" wrapText="0"/>
    </xf>
    <xf borderId="1" fillId="3" fontId="7" numFmtId="0" xfId="0" applyAlignment="1" applyBorder="1" applyFont="1">
      <alignment horizontal="right" readingOrder="0" shrinkToFit="0" vertical="bottom" wrapText="1"/>
    </xf>
    <xf borderId="1" fillId="3" fontId="57" numFmtId="164" xfId="0" applyAlignment="1" applyBorder="1" applyFont="1" applyNumberFormat="1">
      <alignment horizontal="right" readingOrder="0" shrinkToFit="0" vertical="bottom" wrapText="0"/>
    </xf>
    <xf borderId="1" fillId="3" fontId="58" numFmtId="164" xfId="0" applyAlignment="1" applyBorder="1" applyFont="1" applyNumberFormat="1">
      <alignment horizontal="right" readingOrder="0" shrinkToFit="0" vertical="bottom" wrapText="1"/>
    </xf>
    <xf borderId="1" fillId="3" fontId="59" numFmtId="0" xfId="0" applyAlignment="1" applyBorder="1" applyFont="1">
      <alignment vertical="bottom"/>
    </xf>
  </cellXfs>
  <cellStyles count="1">
    <cellStyle xfId="0" name="Normal" builtinId="0"/>
  </cellStyles>
  <dxfs count="2">
    <dxf>
      <font>
        <b/>
        <color rgb="FFFF0000"/>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pivotCacheDefinition" Target="pivotCache/pivotCacheDefinition1.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0:Z27" sheet="Summary M3"/>
  </cacheSource>
  <cacheFields>
    <cacheField name="Building" numFmtId="49">
      <sharedItems>
        <s v="Rock House, Buena Vida + 2 lots"/>
        <s v="Half Moon Bay Condos"/>
        <s v="Lol Ka'Naab"/>
        <s v="Del Sol Hotel &amp; Condos"/>
        <s v="Playa Blanca"/>
        <s v="Nikte"/>
        <s v="Nikte Ha"/>
        <s v="Playa Caribe"/>
        <s v="Luna Azul"/>
        <s v="The Reef"/>
        <s v="La Bahia"/>
        <s v="Los Flamingos"/>
        <s v="La Joya"/>
        <s v="Casa Fortuna"/>
        <s v="Tan-ik"/>
        <s v="La Tortuga"/>
        <s v="La Mirage"/>
      </sharedItems>
    </cacheField>
    <cacheField name="Lots" numFmtId="3">
      <sharedItems containsSemiMixedTypes="0" containsString="0" containsNumber="1" containsInteger="1">
        <n v="6.0"/>
        <n v="1.0"/>
        <n v="4.0"/>
        <n v="2.0"/>
      </sharedItems>
    </cacheField>
    <cacheField name="% of Max influx" numFmtId="10">
      <sharedItems containsSemiMixedTypes="0" containsString="0" containsNumber="1">
        <n v="0.6"/>
        <n v="1.0"/>
        <n v="0.7"/>
        <n v="0.5"/>
        <n v="0.3"/>
      </sharedItems>
    </cacheField>
    <cacheField name="2017" numFmtId="164">
      <sharedItems containsSemiMixedTypes="0" containsString="0" containsNumber="1">
        <n v="27125.581395348836"/>
        <n v="7534.883720930233"/>
        <n v="30139.53488372093"/>
        <n v="15069.767441860466"/>
        <n v="10548.837209302326"/>
        <n v="5274.418604651163"/>
        <n v="3767.4418604651164"/>
        <n v="2260.4651162790697"/>
      </sharedItems>
    </cacheField>
    <cacheField name="2018" numFmtId="164">
      <sharedItems containsSemiMixedTypes="0" containsString="0" containsNumber="1">
        <n v="126586.04651162788"/>
        <n v="35162.79069767442"/>
        <n v="140651.16279069768"/>
        <n v="70325.58139534884"/>
        <n v="49227.906976744176"/>
        <n v="24613.953488372088"/>
        <n v="17581.39534883721"/>
        <n v="10548.837209302326"/>
      </sharedItems>
    </cacheField>
    <cacheField name="2019" numFmtId="164">
      <sharedItems containsSemiMixedTypes="0" containsString="0" containsNumber="1">
        <n v="144669.76744186043"/>
        <n v="40186.04651162791"/>
        <n v="160744.18604651163"/>
        <n v="80372.09302325582"/>
        <n v="56260.46511627907"/>
        <n v="28130.232558139534"/>
        <n v="20093.023255813954"/>
        <n v="12055.813953488372"/>
      </sharedItems>
    </cacheField>
    <cacheField name="2020" numFmtId="164">
      <sharedItems containsSemiMixedTypes="0" containsString="0" containsNumber="1">
        <n v="3616.7441860465115"/>
        <n v="1004.6511627906976"/>
        <n v="4018.6046511627906"/>
        <n v="2009.3023255813953"/>
        <n v="1406.5116279069769"/>
        <n v="703.2558139534884"/>
        <n v="502.3255813953488"/>
        <n v="301.3953488372093"/>
      </sharedItems>
    </cacheField>
    <cacheField name="2021" numFmtId="164">
      <sharedItems containsSemiMixedTypes="0" containsString="0" containsNumber="1">
        <n v="162753.488372093"/>
        <n v="45209.3023255814"/>
        <n v="180837.2093023256"/>
        <n v="90418.6046511628"/>
        <n v="63293.023255813954"/>
        <n v="31646.511627906977"/>
        <n v="22604.6511627907"/>
        <n v="13562.790697674418"/>
      </sharedItems>
    </cacheField>
    <cacheField name="Total 2017-2021" numFmtId="164">
      <sharedItems containsSemiMixedTypes="0" containsString="0" containsNumber="1">
        <n v="464751.6279069767"/>
        <n v="129097.67441860467"/>
        <n v="516390.6976744187"/>
        <n v="258195.34883720934"/>
        <n v="180736.7441860465"/>
        <n v="90368.37209302325"/>
        <n v="64548.837209302335"/>
        <n v="38729.3023255814"/>
      </sharedItems>
    </cacheField>
    <cacheField name="Average Cubic Meters" numFmtId="3">
      <sharedItems containsSemiMixedTypes="0" containsString="0" containsNumber="1">
        <n v="1850.3999999999999"/>
        <n v="514.0"/>
        <n v="2056.0"/>
        <n v="1028.0"/>
        <n v="719.5999999999999"/>
        <n v="359.79999999999995"/>
        <n v="257.0"/>
        <n v="154.2"/>
      </sharedItems>
    </cacheField>
    <cacheField name="Average Cleanup Cost wo Barrier" numFmtId="164">
      <sharedItems containsSemiMixedTypes="0" containsString="0" containsNumber="1">
        <n v="92950.32558139533"/>
        <n v="25819.534883720935"/>
        <n v="103278.13953488374"/>
        <n v="51639.06976744187"/>
        <n v="36147.3488372093"/>
        <n v="18073.67441860465"/>
        <n v="12909.767441860467"/>
        <n v="7745.86046511628"/>
      </sharedItems>
    </cacheField>
    <cacheField name="Average Cleanup Cost w Barrier" numFmtId="164">
      <sharedItems containsSemiMixedTypes="0" containsString="0" containsNumber="1">
        <n v="60417.71162790697"/>
        <n v="16782.697674418607"/>
        <n v="67130.79069767443"/>
        <n v="33565.39534883721"/>
        <n v="23495.776744186045"/>
        <n v="11747.888372093023"/>
        <n v="8391.348837209303"/>
        <n v="5034.8093023255815"/>
      </sharedItems>
    </cacheField>
    <cacheField name="Barrier Operating Cost" numFmtId="164">
      <sharedItems containsSemiMixedTypes="0" containsString="0" containsNumber="1">
        <n v="15069.767441860466"/>
        <n v="4186.046511627907"/>
        <n v="16744.18604651163"/>
        <n v="8372.093023255815"/>
        <n v="5860.465116279069"/>
        <n v="2930.2325581395344"/>
        <n v="2093.0232558139537"/>
        <n v="1255.8139534883721"/>
      </sharedItems>
    </cacheField>
    <cacheField name=" Total Average Annual Cost w Barrier" numFmtId="164">
      <sharedItems containsSemiMixedTypes="0" containsString="0" containsNumber="1">
        <n v="75487.47906976743"/>
        <n v="20968.744186046515"/>
        <n v="83874.97674418606"/>
        <n v="41937.48837209303"/>
        <n v="29356.241860465114"/>
        <n v="14678.120930232557"/>
        <n v="10484.372093023258"/>
        <n v="6290.623255813954"/>
      </sharedItems>
    </cacheField>
    <cacheField name="# Owners" numFmtId="0">
      <sharedItems containsSemiMixedTypes="0" containsString="0" containsNumber="1" containsInteger="1">
        <n v="1.0"/>
        <n v="3.0"/>
        <n v="11.0"/>
        <n v="10.0"/>
        <n v="9.0"/>
        <n v="12.0"/>
        <n v="8.0"/>
        <n v="6.0"/>
      </sharedItems>
    </cacheField>
    <cacheField name="Monthly Cost per Owner" numFmtId="164">
      <sharedItems containsSemiMixedTypes="0" containsString="0" containsNumber="1">
        <n v="6290.623255813953"/>
        <n v="582.4651162790699"/>
        <n v="158.8541226215645"/>
        <n v="6989.581395348839"/>
        <n v="174.73953488372095"/>
        <n v="194.15503875968994"/>
        <n v="291.23255813953494"/>
        <n v="218.4244186046512"/>
        <n v="2446.3534883720927"/>
        <n v="203.8627906976744"/>
        <n v="1223.1767441860463"/>
        <n v="873.6976744186048"/>
        <n v="47.65623678646934"/>
        <n v="65.52732558139535"/>
      </sharedItems>
    </cacheField>
    <cacheField name="# of Contributing Owners" numFmtId="0">
      <sharedItems containsSemiMixedTypes="0" containsString="0" containsNumber="1" containsInteger="1">
        <n v="0.0"/>
        <n v="1.0"/>
        <n v="5.0"/>
        <n v="10.0"/>
        <n v="12.0"/>
        <n v="8.0"/>
        <n v="6.0"/>
        <n v="4.0"/>
      </sharedItems>
    </cacheField>
    <cacheField name="Total Annual Funding (Barrier &amp; Cleanup)" numFmtId="0">
      <sharedItems containsSemiMixedTypes="0" containsString="0" containsNumber="1">
        <n v="0.0"/>
        <n v="34414.322333023265"/>
        <n v="68828.64466604653"/>
        <n v="48180.05126623256"/>
        <n v="24090.02563311628"/>
        <n v="10324.296699906978"/>
      </sharedItems>
    </cacheField>
    <cacheField name="Monthly Cost per Contributing Owner" numFmtId="0">
      <sharedItems containsSemiMixedTypes="0" containsString="0" containsNumber="1">
        <n v="0.0"/>
        <n v="2867.8601944186053"/>
        <n v="573.5720388837211"/>
        <n v="286.78601944186056"/>
        <n v="477.97669906976756"/>
        <n v="358.48252430232566"/>
        <n v="4015.0042721860464"/>
        <n v="334.5836893488372"/>
        <n v="2007.5021360930232"/>
        <n v="215.08951458139538"/>
      </sharedItems>
    </cacheField>
    <cacheField name="Barrier" numFmtId="0">
      <sharedItems containsSemiMixedTypes="0" containsString="0" containsNumber="1">
        <n v="0.0"/>
        <n v="6870.223255813955"/>
        <n v="13740.44651162791"/>
        <n v="9618.312558139532"/>
        <n v="4809.156279069766"/>
        <n v="2061.0669767441864"/>
      </sharedItems>
    </cacheField>
    <cacheField name="Beach Cleanup" numFmtId="164">
      <sharedItems containsSemiMixedTypes="0" containsString="0" containsNumber="1">
        <n v="0.0"/>
        <n v="27544.09907720931"/>
        <n v="55088.19815441862"/>
        <n v="38561.73870809302"/>
        <n v="19280.86935404651"/>
        <n v="8263.22972316279"/>
      </sharedItems>
    </cacheField>
    <cacheField name=" " numFmtId="0">
      <sharedItems containsString="0" containsBlank="1">
        <m/>
      </sharedItems>
    </cacheField>
    <cacheField name="Total 4 M3 Truck Loads" numFmtId="1">
      <sharedItems containsSemiMixedTypes="0" containsString="0" containsNumber="1">
        <n v="300.69"/>
        <n v="83.525"/>
        <n v="334.1"/>
        <n v="167.05"/>
        <n v="116.93499999999999"/>
        <n v="58.467499999999994"/>
        <n v="41.7625"/>
        <n v="25.057499999999997"/>
      </sharedItems>
    </cacheField>
    <cacheField name="Avg. Truck Loads /Month" numFmtId="1">
      <sharedItems containsSemiMixedTypes="0" containsString="0" containsNumber="1">
        <n v="2.6728"/>
        <n v="13.920833333333334"/>
        <n v="55.68333333333334"/>
        <n v="27.84166666666667"/>
        <n v="19.489166666666666"/>
        <n v="9.744583333333333"/>
        <n v="6.960416666666667"/>
        <n v="4.17625"/>
      </sharedItems>
    </cacheField>
    <cacheField name="Total 75 m3 Containers" numFmtId="1">
      <sharedItems containsSemiMixedTypes="0" containsString="0" containsNumber="1">
        <n v="16.0368"/>
        <n v="4.454666666666667"/>
        <n v="17.81866666666667"/>
        <n v="8.909333333333334"/>
        <n v="6.236533333333333"/>
        <n v="3.1182666666666665"/>
        <n v="2.2273333333333336"/>
        <n v="1.3363999999999998"/>
      </sharedItems>
    </cacheField>
    <cacheField name=" 2" numFmtId="0">
      <sharedItems containsString="0" containsBlank="1" containsNumber="1">
        <m/>
        <n v="1398.5581395348838"/>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H19" firstHeaderRow="0" firstDataRow="2" firstDataCol="0"/>
  <pivotFields>
    <pivotField name="Building" axis="axisRow" compact="0" numFmtId="49" outline="0" multipleItemSelectionAllowed="1" showAll="0" sortType="ascending">
      <items>
        <item x="13"/>
        <item x="3"/>
        <item x="1"/>
        <item x="10"/>
        <item x="12"/>
        <item x="16"/>
        <item x="15"/>
        <item x="2"/>
        <item x="11"/>
        <item x="8"/>
        <item x="5"/>
        <item x="6"/>
        <item x="4"/>
        <item x="7"/>
        <item x="0"/>
        <item x="14"/>
        <item x="9"/>
        <item t="default"/>
      </items>
    </pivotField>
    <pivotField name="Lots" compact="0" numFmtId="3" outline="0" multipleItemSelectionAllowed="1" showAll="0">
      <items>
        <item x="0"/>
        <item x="1"/>
        <item x="2"/>
        <item x="3"/>
        <item t="default"/>
      </items>
    </pivotField>
    <pivotField name="% of Max influx" compact="0" numFmtId="10" outline="0" multipleItemSelectionAllowed="1" showAll="0">
      <items>
        <item x="0"/>
        <item x="1"/>
        <item x="2"/>
        <item x="3"/>
        <item x="4"/>
        <item t="default"/>
      </items>
    </pivotField>
    <pivotField name="2017" compact="0" numFmtId="164" outline="0" multipleItemSelectionAllowed="1" showAll="0">
      <items>
        <item x="0"/>
        <item x="1"/>
        <item x="2"/>
        <item x="3"/>
        <item x="4"/>
        <item x="5"/>
        <item x="6"/>
        <item x="7"/>
        <item t="default"/>
      </items>
    </pivotField>
    <pivotField name="2018" compact="0" numFmtId="164" outline="0" multipleItemSelectionAllowed="1" showAll="0">
      <items>
        <item x="0"/>
        <item x="1"/>
        <item x="2"/>
        <item x="3"/>
        <item x="4"/>
        <item x="5"/>
        <item x="6"/>
        <item x="7"/>
        <item t="default"/>
      </items>
    </pivotField>
    <pivotField name="2019" compact="0" numFmtId="164" outline="0" multipleItemSelectionAllowed="1" showAll="0">
      <items>
        <item x="0"/>
        <item x="1"/>
        <item x="2"/>
        <item x="3"/>
        <item x="4"/>
        <item x="5"/>
        <item x="6"/>
        <item x="7"/>
        <item t="default"/>
      </items>
    </pivotField>
    <pivotField name="2020" compact="0" numFmtId="164" outline="0" multipleItemSelectionAllowed="1" showAll="0">
      <items>
        <item x="0"/>
        <item x="1"/>
        <item x="2"/>
        <item x="3"/>
        <item x="4"/>
        <item x="5"/>
        <item x="6"/>
        <item x="7"/>
        <item t="default"/>
      </items>
    </pivotField>
    <pivotField name="2021" compact="0" numFmtId="164" outline="0" multipleItemSelectionAllowed="1" showAll="0">
      <items>
        <item x="0"/>
        <item x="1"/>
        <item x="2"/>
        <item x="3"/>
        <item x="4"/>
        <item x="5"/>
        <item x="6"/>
        <item x="7"/>
        <item t="default"/>
      </items>
    </pivotField>
    <pivotField name="Total 2017-2021" compact="0" numFmtId="164" outline="0" multipleItemSelectionAllowed="1" showAll="0">
      <items>
        <item x="0"/>
        <item x="1"/>
        <item x="2"/>
        <item x="3"/>
        <item x="4"/>
        <item x="5"/>
        <item x="6"/>
        <item x="7"/>
        <item t="default"/>
      </items>
    </pivotField>
    <pivotField name="Average Cubic Meters" dataField="1" compact="0" numFmtId="3" outline="0" multipleItemSelectionAllowed="1" showAll="0">
      <items>
        <item x="0"/>
        <item x="1"/>
        <item x="2"/>
        <item x="3"/>
        <item x="4"/>
        <item x="5"/>
        <item x="6"/>
        <item x="7"/>
        <item t="default"/>
      </items>
    </pivotField>
    <pivotField name="Average Cleanup Cost wo Barrier" dataField="1" compact="0" numFmtId="164" outline="0" multipleItemSelectionAllowed="1" showAll="0">
      <items>
        <item x="0"/>
        <item x="1"/>
        <item x="2"/>
        <item x="3"/>
        <item x="4"/>
        <item x="5"/>
        <item x="6"/>
        <item x="7"/>
        <item t="default"/>
      </items>
    </pivotField>
    <pivotField name="Average Cleanup Cost w Barrier" dataField="1" compact="0" numFmtId="164" outline="0" multipleItemSelectionAllowed="1" showAll="0">
      <items>
        <item x="0"/>
        <item x="1"/>
        <item x="2"/>
        <item x="3"/>
        <item x="4"/>
        <item x="5"/>
        <item x="6"/>
        <item x="7"/>
        <item t="default"/>
      </items>
    </pivotField>
    <pivotField name="Barrier Operating Cost" dataField="1" compact="0" numFmtId="164" outline="0" multipleItemSelectionAllowed="1" showAll="0">
      <items>
        <item x="0"/>
        <item x="1"/>
        <item x="2"/>
        <item x="3"/>
        <item x="4"/>
        <item x="5"/>
        <item x="6"/>
        <item x="7"/>
        <item t="default"/>
      </items>
    </pivotField>
    <pivotField name=" Total Average Annual Cost w Barrier" dataField="1" compact="0" numFmtId="164" outline="0" multipleItemSelectionAllowed="1" showAll="0">
      <items>
        <item x="0"/>
        <item x="1"/>
        <item x="2"/>
        <item x="3"/>
        <item x="4"/>
        <item x="5"/>
        <item x="6"/>
        <item x="7"/>
        <item t="default"/>
      </items>
    </pivotField>
    <pivotField name="# Owners" compact="0" outline="0" multipleItemSelectionAllowed="1" showAll="0">
      <items>
        <item x="0"/>
        <item x="1"/>
        <item x="2"/>
        <item x="3"/>
        <item x="4"/>
        <item x="5"/>
        <item x="6"/>
        <item x="7"/>
        <item t="default"/>
      </items>
    </pivotField>
    <pivotField name="Monthly Cost per Owner" compact="0" numFmtId="164" outline="0" multipleItemSelectionAllowed="1" showAll="0">
      <items>
        <item x="0"/>
        <item x="1"/>
        <item x="2"/>
        <item x="3"/>
        <item x="4"/>
        <item x="5"/>
        <item x="6"/>
        <item x="7"/>
        <item x="8"/>
        <item x="9"/>
        <item x="10"/>
        <item x="11"/>
        <item x="12"/>
        <item x="13"/>
        <item t="default"/>
      </items>
    </pivotField>
    <pivotField name="# of Contributing Owners" compact="0" outline="0" multipleItemSelectionAllowed="1" showAll="0">
      <items>
        <item x="0"/>
        <item x="1"/>
        <item x="2"/>
        <item x="3"/>
        <item x="4"/>
        <item x="5"/>
        <item x="6"/>
        <item x="7"/>
        <item t="default"/>
      </items>
    </pivotField>
    <pivotField name="Total Annual Funding (Barrier &amp; Cleanup)" compact="0" outline="0" multipleItemSelectionAllowed="1" showAll="0">
      <items>
        <item x="0"/>
        <item x="1"/>
        <item x="2"/>
        <item x="3"/>
        <item x="4"/>
        <item x="5"/>
        <item t="default"/>
      </items>
    </pivotField>
    <pivotField name="Monthly Cost per Contributing Owner" compact="0" outline="0" multipleItemSelectionAllowed="1" showAll="0">
      <items>
        <item x="0"/>
        <item x="1"/>
        <item x="2"/>
        <item x="3"/>
        <item x="4"/>
        <item x="5"/>
        <item x="6"/>
        <item x="7"/>
        <item x="8"/>
        <item x="9"/>
        <item t="default"/>
      </items>
    </pivotField>
    <pivotField name="Barrier" compact="0" outline="0" multipleItemSelectionAllowed="1" showAll="0">
      <items>
        <item x="0"/>
        <item x="1"/>
        <item x="2"/>
        <item x="3"/>
        <item x="4"/>
        <item x="5"/>
        <item t="default"/>
      </items>
    </pivotField>
    <pivotField name="Beach Cleanup" compact="0" numFmtId="164" outline="0" multipleItemSelectionAllowed="1" showAll="0">
      <items>
        <item x="0"/>
        <item x="1"/>
        <item x="2"/>
        <item x="3"/>
        <item x="4"/>
        <item x="5"/>
        <item t="default"/>
      </items>
    </pivotField>
    <pivotField name=" " compact="0" outline="0" multipleItemSelectionAllowed="1" showAll="0">
      <items>
        <item x="0"/>
        <item t="default"/>
      </items>
    </pivotField>
    <pivotField name="Total 4 M3 Truck Loads" dataField="1" compact="0" numFmtId="1" outline="0" multipleItemSelectionAllowed="1" showAll="0">
      <items>
        <item x="0"/>
        <item x="1"/>
        <item x="2"/>
        <item x="3"/>
        <item x="4"/>
        <item x="5"/>
        <item x="6"/>
        <item x="7"/>
        <item t="default"/>
      </items>
    </pivotField>
    <pivotField name="Avg. Truck Loads /Month" dataField="1" compact="0" numFmtId="1" outline="0" multipleItemSelectionAllowed="1" showAll="0">
      <items>
        <item x="0"/>
        <item x="1"/>
        <item x="2"/>
        <item x="3"/>
        <item x="4"/>
        <item x="5"/>
        <item x="6"/>
        <item x="7"/>
        <item t="default"/>
      </items>
    </pivotField>
    <pivotField name="Total 75 m3 Containers" compact="0" numFmtId="1" outline="0" multipleItemSelectionAllowed="1" showAll="0">
      <items>
        <item x="0"/>
        <item x="1"/>
        <item x="2"/>
        <item x="3"/>
        <item x="4"/>
        <item x="5"/>
        <item x="6"/>
        <item x="7"/>
        <item t="default"/>
      </items>
    </pivotField>
    <pivotField name=" 2" compact="0" outline="0" multipleItemSelectionAllowed="1" showAll="0">
      <items>
        <item x="0"/>
        <item x="1"/>
        <item t="default"/>
      </items>
    </pivotField>
  </pivotFields>
  <rowFields>
    <field x="0"/>
  </rowFields>
  <colFields>
    <field x="-2"/>
  </colFields>
  <dataFields>
    <dataField name="Average Cubic Meters" fld="9" baseField="0"/>
    <dataField name="Average Cleanup Cost" fld="10" baseField="0"/>
    <dataField name="Average Cleanup Cost w Barrier" fld="11" baseField="0"/>
    <dataField name="SUM of Barrier Operating Cost" fld="12" baseField="0"/>
    <dataField name="Total Average Annual Cost" fld="13" baseField="0"/>
    <dataField name="Total 4 M3 Truck Loads" fld="22" baseField="0"/>
    <dataField name="Truck Loads /Month" fld="2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mazon.com/X-PRO-Wheelers-Utility-Shining-Headlight/dp/B081GMNR95/ref=sr_1_2?crid=U98THK5GKUFX&amp;keywords=utility%2Bvehicle&amp;qid=1698572423&amp;sprefix=utility%2Bvehicle%2Caps%2C76&amp;sr=8-2&amp;ufe=app_do%3Aamzn1.fos.765d4786-5719-48b9-b588-eab9385652d5&amp;th=1" TargetMode="External"/><Relationship Id="rId3" Type="http://schemas.openxmlformats.org/officeDocument/2006/relationships/hyperlink" Target="https://ruggedat.com/my-new-trailer/?utm_source=GoogleAdwords&amp;utm_medium=Search&amp;utm_term=aluminum%20flatbed%20trailer&amp;utm_campaign&amp;gad=1&amp;gclid=Cj0KCQjwhfipBhCqARIsAH9msbkpwELPIDUH38sykEU5DdRB7dZjvoH1fXA6ZkliPmNtyuRvXFhTCckaAhlKEALw_wcB" TargetMode="External"/><Relationship Id="rId4" Type="http://schemas.openxmlformats.org/officeDocument/2006/relationships/drawing" Target="../drawings/drawing2.xml"/><Relationship Id="rId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topLeftCell="G1" activePane="topRight" state="frozen"/>
      <selection activeCell="H2" sqref="H2" pane="topRight"/>
    </sheetView>
  </sheetViews>
  <sheetFormatPr customHeight="1" defaultColWidth="12.63" defaultRowHeight="15.75"/>
  <cols>
    <col customWidth="1" min="1" max="1" width="32.0"/>
    <col customWidth="1" min="2" max="2" width="6.88"/>
    <col customWidth="1" min="3" max="3" width="10.0"/>
    <col customWidth="1" min="4" max="4" width="12.63"/>
    <col customWidth="1" min="5" max="5" width="11.88"/>
    <col customWidth="1" min="6" max="6" width="10.75"/>
    <col customWidth="1" min="7" max="7" width="9.0"/>
    <col customWidth="1" min="8" max="8" width="10.5"/>
    <col customWidth="1" min="9" max="9" width="13.25"/>
    <col customWidth="1" min="10" max="10" width="11.0"/>
    <col customWidth="1" min="11" max="11" width="10.5"/>
    <col customWidth="1" min="12" max="12" width="13.0"/>
    <col customWidth="1" min="14" max="14" width="10.38"/>
    <col customWidth="1" min="15" max="15" width="12.13"/>
    <col customWidth="1" min="17" max="17" width="15.0"/>
    <col customWidth="1" min="18" max="18" width="14.63"/>
    <col customWidth="1" min="19" max="19" width="16.75"/>
    <col customWidth="1" min="22" max="23" width="12.75"/>
    <col customWidth="1" min="24" max="24" width="11.75"/>
    <col customWidth="1" min="25" max="25" width="13.38"/>
  </cols>
  <sheetData>
    <row r="1">
      <c r="A1" s="1" t="s">
        <v>0</v>
      </c>
    </row>
    <row r="2">
      <c r="A2" s="2" t="s">
        <v>1</v>
      </c>
    </row>
    <row r="3">
      <c r="A3" s="3"/>
      <c r="B3" s="4" t="b">
        <v>1</v>
      </c>
      <c r="C3" s="5" t="b">
        <v>0</v>
      </c>
      <c r="D3" s="5" t="b">
        <v>0</v>
      </c>
      <c r="J3" s="6"/>
      <c r="L3" s="6" t="s">
        <v>2</v>
      </c>
    </row>
    <row r="4">
      <c r="A4" s="7"/>
      <c r="B4" s="8" t="s">
        <v>3</v>
      </c>
      <c r="C4" s="8" t="s">
        <v>4</v>
      </c>
      <c r="D4" s="8" t="s">
        <v>5</v>
      </c>
      <c r="F4" s="6" t="s">
        <v>2</v>
      </c>
    </row>
    <row r="5">
      <c r="A5" s="8" t="s">
        <v>6</v>
      </c>
      <c r="B5" s="9">
        <v>40.0</v>
      </c>
      <c r="C5" s="9">
        <v>22.0</v>
      </c>
      <c r="D5" s="9">
        <v>30.0</v>
      </c>
    </row>
    <row r="6">
      <c r="A6" s="10" t="s">
        <v>7</v>
      </c>
      <c r="B6" s="11">
        <f t="shared" ref="B6:D6" si="1">B5*18</f>
        <v>720</v>
      </c>
      <c r="C6" s="11">
        <f t="shared" si="1"/>
        <v>396</v>
      </c>
      <c r="D6" s="11">
        <f t="shared" si="1"/>
        <v>540</v>
      </c>
      <c r="E6" s="12"/>
      <c r="F6" s="6" t="s">
        <v>2</v>
      </c>
      <c r="J6" s="12"/>
      <c r="K6" s="12"/>
      <c r="L6" s="12"/>
    </row>
    <row r="7">
      <c r="A7" s="13" t="s">
        <v>8</v>
      </c>
      <c r="B7" s="13">
        <v>6.0</v>
      </c>
      <c r="C7" s="11">
        <f t="shared" ref="C7:D7" si="2">C6*4</f>
        <v>1584</v>
      </c>
      <c r="D7" s="11">
        <f t="shared" si="2"/>
        <v>2160</v>
      </c>
      <c r="E7" s="12"/>
      <c r="F7" s="12"/>
      <c r="G7" s="12"/>
      <c r="H7" s="12"/>
      <c r="I7" s="12"/>
      <c r="J7" s="12"/>
      <c r="K7" s="12"/>
    </row>
    <row r="8">
      <c r="A8" s="12"/>
      <c r="B8" s="12" t="s">
        <v>2</v>
      </c>
      <c r="C8" s="12"/>
      <c r="D8" s="12"/>
      <c r="E8" s="12"/>
      <c r="F8" s="12"/>
      <c r="G8" s="12"/>
      <c r="H8" s="12"/>
      <c r="I8" s="10" t="s">
        <v>9</v>
      </c>
      <c r="J8" s="10" t="s">
        <v>10</v>
      </c>
      <c r="K8" s="12"/>
      <c r="L8" s="8" t="s">
        <v>11</v>
      </c>
    </row>
    <row r="9">
      <c r="A9" s="8" t="s">
        <v>12</v>
      </c>
      <c r="B9" s="8"/>
      <c r="C9" s="8"/>
      <c r="D9" s="8">
        <v>150.0</v>
      </c>
      <c r="E9" s="8">
        <v>700.0</v>
      </c>
      <c r="F9" s="8">
        <v>800.0</v>
      </c>
      <c r="G9" s="8">
        <v>20.0</v>
      </c>
      <c r="H9" s="8">
        <v>900.0</v>
      </c>
      <c r="I9" s="8">
        <f>AVERAGE(D9:H9)</f>
        <v>514</v>
      </c>
      <c r="J9" s="14">
        <f>I9/B7</f>
        <v>85.66666667</v>
      </c>
      <c r="K9" s="8">
        <f>sum(D9:H9)/5</f>
        <v>514</v>
      </c>
      <c r="L9" s="15">
        <v>0.35</v>
      </c>
      <c r="M9" s="16">
        <v>90000.0</v>
      </c>
      <c r="N9" s="17"/>
      <c r="R9" s="18">
        <v>0.64122</v>
      </c>
      <c r="T9" s="17"/>
    </row>
    <row r="10">
      <c r="A10" s="8" t="s">
        <v>13</v>
      </c>
      <c r="B10" s="8" t="s">
        <v>14</v>
      </c>
      <c r="C10" s="8" t="s">
        <v>15</v>
      </c>
      <c r="D10" s="19">
        <v>2017.0</v>
      </c>
      <c r="E10" s="19">
        <v>2018.0</v>
      </c>
      <c r="F10" s="19">
        <v>2019.0</v>
      </c>
      <c r="G10" s="19">
        <v>2020.0</v>
      </c>
      <c r="H10" s="8">
        <v>2021.0</v>
      </c>
      <c r="I10" s="8" t="s">
        <v>16</v>
      </c>
      <c r="J10" s="8" t="s">
        <v>17</v>
      </c>
      <c r="K10" s="20" t="s">
        <v>18</v>
      </c>
      <c r="L10" s="8" t="s">
        <v>19</v>
      </c>
      <c r="M10" s="8" t="s">
        <v>20</v>
      </c>
      <c r="N10" s="20" t="s">
        <v>21</v>
      </c>
      <c r="O10" s="8" t="s">
        <v>22</v>
      </c>
      <c r="P10" s="8" t="s">
        <v>23</v>
      </c>
      <c r="Q10" s="8" t="s">
        <v>24</v>
      </c>
      <c r="R10" s="8" t="s">
        <v>25</v>
      </c>
      <c r="S10" s="8" t="s">
        <v>26</v>
      </c>
      <c r="T10" s="8" t="s">
        <v>27</v>
      </c>
      <c r="U10" s="8" t="s">
        <v>28</v>
      </c>
      <c r="V10" s="8" t="s">
        <v>2</v>
      </c>
      <c r="W10" s="8" t="s">
        <v>29</v>
      </c>
      <c r="X10" s="8" t="s">
        <v>30</v>
      </c>
      <c r="Y10" s="8" t="s">
        <v>31</v>
      </c>
      <c r="Z10" s="21" t="s">
        <v>2</v>
      </c>
    </row>
    <row r="11">
      <c r="A11" s="22" t="s">
        <v>32</v>
      </c>
      <c r="B11" s="23">
        <v>6.0</v>
      </c>
      <c r="C11" s="24">
        <v>0.6</v>
      </c>
      <c r="D11" s="25">
        <f t="shared" ref="D11:H11" si="3">$B11*$C11*D$9*$B$28* IF($B$3,$B$5,if($C$3,$C$5,if($D$3,$D$5,0)))/$C$28</f>
        <v>27125.5814</v>
      </c>
      <c r="E11" s="25">
        <f t="shared" si="3"/>
        <v>126586.0465</v>
      </c>
      <c r="F11" s="25">
        <f t="shared" si="3"/>
        <v>144669.7674</v>
      </c>
      <c r="G11" s="25">
        <f t="shared" si="3"/>
        <v>3616.744186</v>
      </c>
      <c r="H11" s="25">
        <f t="shared" si="3"/>
        <v>162753.4884</v>
      </c>
      <c r="I11" s="25">
        <f t="shared" ref="I11:I28" si="5">sum(D11:H11)</f>
        <v>464751.6279</v>
      </c>
      <c r="J11" s="23">
        <f t="shared" ref="J11:J27" si="6">$K$9*B11*C11</f>
        <v>1850.4</v>
      </c>
      <c r="K11" s="26">
        <f t="shared" ref="K11:K27" si="7">AVERAGE(D11:H11)</f>
        <v>92950.32558</v>
      </c>
      <c r="L11" s="25">
        <f t="shared" ref="L11:L27" si="8">K11*(1-$L$9)</f>
        <v>60417.71163</v>
      </c>
      <c r="M11" s="25">
        <f t="shared" ref="M11:M27" si="9">$M$9*B11*C11/$C$28</f>
        <v>15069.76744</v>
      </c>
      <c r="N11" s="26">
        <f t="shared" ref="N11:N27" si="10">L11+M11</f>
        <v>75487.47907</v>
      </c>
      <c r="O11" s="27">
        <v>1.0</v>
      </c>
      <c r="P11" s="25">
        <f t="shared" ref="P11:P27" si="11">N11/(12*O11)</f>
        <v>6290.623256</v>
      </c>
      <c r="Q11" s="27">
        <v>0.0</v>
      </c>
      <c r="R11" s="28">
        <f t="shared" ref="R11:R27" si="12">If(Q11&gt;0,N11*(1+$R$9),0)</f>
        <v>0</v>
      </c>
      <c r="S11" s="29">
        <f t="shared" ref="S11:S27" si="13">if(R11&lt;&gt;0, R11/(12*Q11),0)</f>
        <v>0</v>
      </c>
      <c r="T11" s="30">
        <f t="shared" ref="T11:T27" si="14">(M11/N11)*R11</f>
        <v>0</v>
      </c>
      <c r="U11" s="25">
        <f t="shared" ref="U11:U27" si="15">R11-T11</f>
        <v>0</v>
      </c>
      <c r="V11" s="31"/>
      <c r="W11" s="31">
        <f t="shared" ref="W11:W27" si="16">J11*(1-$L$9)/4</f>
        <v>300.69</v>
      </c>
      <c r="X11" s="31">
        <f>Y11/$B$7</f>
        <v>2.6728</v>
      </c>
      <c r="Y11" s="31">
        <f t="shared" ref="Y11:Y27" si="17">J11*(1-$L$9)/75</f>
        <v>16.0368</v>
      </c>
    </row>
    <row r="12">
      <c r="A12" s="22" t="s">
        <v>33</v>
      </c>
      <c r="B12" s="23">
        <v>1.0</v>
      </c>
      <c r="C12" s="24">
        <v>1.0</v>
      </c>
      <c r="D12" s="25">
        <f t="shared" ref="D12:H12" si="4">$B12*$C12*D$9*$B$28* IF($B$3,$B$5,if($C$3,$C$5,if($D$3,$D$5,0)))/$C$28</f>
        <v>7534.883721</v>
      </c>
      <c r="E12" s="25">
        <f t="shared" si="4"/>
        <v>35162.7907</v>
      </c>
      <c r="F12" s="25">
        <f t="shared" si="4"/>
        <v>40186.04651</v>
      </c>
      <c r="G12" s="25">
        <f t="shared" si="4"/>
        <v>1004.651163</v>
      </c>
      <c r="H12" s="25">
        <f t="shared" si="4"/>
        <v>45209.30233</v>
      </c>
      <c r="I12" s="25">
        <f t="shared" si="5"/>
        <v>129097.6744</v>
      </c>
      <c r="J12" s="23">
        <f t="shared" si="6"/>
        <v>514</v>
      </c>
      <c r="K12" s="26">
        <f t="shared" si="7"/>
        <v>25819.53488</v>
      </c>
      <c r="L12" s="25">
        <f t="shared" si="8"/>
        <v>16782.69767</v>
      </c>
      <c r="M12" s="25">
        <f t="shared" si="9"/>
        <v>4186.046512</v>
      </c>
      <c r="N12" s="26">
        <f t="shared" si="10"/>
        <v>20968.74419</v>
      </c>
      <c r="O12" s="27">
        <v>3.0</v>
      </c>
      <c r="P12" s="25">
        <f t="shared" si="11"/>
        <v>582.4651163</v>
      </c>
      <c r="Q12" s="27">
        <v>1.0</v>
      </c>
      <c r="R12" s="32">
        <f t="shared" si="12"/>
        <v>34414.32233</v>
      </c>
      <c r="S12" s="33">
        <f t="shared" si="13"/>
        <v>2867.860194</v>
      </c>
      <c r="T12" s="25">
        <f t="shared" si="14"/>
        <v>6870.223256</v>
      </c>
      <c r="U12" s="25">
        <f t="shared" si="15"/>
        <v>27544.09908</v>
      </c>
      <c r="V12" s="31"/>
      <c r="W12" s="31">
        <f t="shared" si="16"/>
        <v>83.525</v>
      </c>
      <c r="X12" s="31">
        <f t="shared" ref="X12:X27" si="19">W12/$B$7</f>
        <v>13.92083333</v>
      </c>
      <c r="Y12" s="31">
        <f t="shared" si="17"/>
        <v>4.454666667</v>
      </c>
    </row>
    <row r="13">
      <c r="A13" s="34" t="s">
        <v>34</v>
      </c>
      <c r="B13" s="23">
        <v>1.0</v>
      </c>
      <c r="C13" s="24">
        <v>1.0</v>
      </c>
      <c r="D13" s="25">
        <f t="shared" ref="D13:H13" si="18">$B13*$C13*D$9*$B$28* IF($B$3,$B$5,if($C$3,$C$5,if($D$3,$D$5,0)))/$C$28</f>
        <v>7534.883721</v>
      </c>
      <c r="E13" s="25">
        <f t="shared" si="18"/>
        <v>35162.7907</v>
      </c>
      <c r="F13" s="25">
        <f t="shared" si="18"/>
        <v>40186.04651</v>
      </c>
      <c r="G13" s="25">
        <f t="shared" si="18"/>
        <v>1004.651163</v>
      </c>
      <c r="H13" s="25">
        <f t="shared" si="18"/>
        <v>45209.30233</v>
      </c>
      <c r="I13" s="25">
        <f t="shared" si="5"/>
        <v>129097.6744</v>
      </c>
      <c r="J13" s="23">
        <f t="shared" si="6"/>
        <v>514</v>
      </c>
      <c r="K13" s="26">
        <f t="shared" si="7"/>
        <v>25819.53488</v>
      </c>
      <c r="L13" s="25">
        <f t="shared" si="8"/>
        <v>16782.69767</v>
      </c>
      <c r="M13" s="25">
        <f t="shared" si="9"/>
        <v>4186.046512</v>
      </c>
      <c r="N13" s="26">
        <f t="shared" si="10"/>
        <v>20968.74419</v>
      </c>
      <c r="O13" s="27">
        <v>11.0</v>
      </c>
      <c r="P13" s="25">
        <f t="shared" si="11"/>
        <v>158.8541226</v>
      </c>
      <c r="Q13" s="27">
        <v>5.0</v>
      </c>
      <c r="R13" s="32">
        <f t="shared" si="12"/>
        <v>34414.32233</v>
      </c>
      <c r="S13" s="33">
        <f t="shared" si="13"/>
        <v>573.5720389</v>
      </c>
      <c r="T13" s="25">
        <f t="shared" si="14"/>
        <v>6870.223256</v>
      </c>
      <c r="U13" s="25">
        <f t="shared" si="15"/>
        <v>27544.09908</v>
      </c>
      <c r="V13" s="31"/>
      <c r="W13" s="31">
        <f t="shared" si="16"/>
        <v>83.525</v>
      </c>
      <c r="X13" s="31">
        <f t="shared" si="19"/>
        <v>13.92083333</v>
      </c>
      <c r="Y13" s="31">
        <f t="shared" si="17"/>
        <v>4.454666667</v>
      </c>
    </row>
    <row r="14">
      <c r="A14" s="22" t="s">
        <v>35</v>
      </c>
      <c r="B14" s="23">
        <v>4.0</v>
      </c>
      <c r="C14" s="24">
        <v>1.0</v>
      </c>
      <c r="D14" s="25">
        <f t="shared" ref="D14:H14" si="20">$B14*$C14*D$9*$B$28* IF($B$3,$B$5,if($C$3,$C$5,if($D$3,$D$5,0)))/$C$28</f>
        <v>30139.53488</v>
      </c>
      <c r="E14" s="25">
        <f t="shared" si="20"/>
        <v>140651.1628</v>
      </c>
      <c r="F14" s="25">
        <f t="shared" si="20"/>
        <v>160744.186</v>
      </c>
      <c r="G14" s="25">
        <f t="shared" si="20"/>
        <v>4018.604651</v>
      </c>
      <c r="H14" s="25">
        <f t="shared" si="20"/>
        <v>180837.2093</v>
      </c>
      <c r="I14" s="25">
        <f t="shared" si="5"/>
        <v>516390.6977</v>
      </c>
      <c r="J14" s="23">
        <f t="shared" si="6"/>
        <v>2056</v>
      </c>
      <c r="K14" s="26">
        <f t="shared" si="7"/>
        <v>103278.1395</v>
      </c>
      <c r="L14" s="25">
        <f t="shared" si="8"/>
        <v>67130.7907</v>
      </c>
      <c r="M14" s="25">
        <f t="shared" si="9"/>
        <v>16744.18605</v>
      </c>
      <c r="N14" s="26">
        <f t="shared" si="10"/>
        <v>83874.97674</v>
      </c>
      <c r="O14" s="27">
        <v>1.0</v>
      </c>
      <c r="P14" s="25">
        <f t="shared" si="11"/>
        <v>6989.581395</v>
      </c>
      <c r="Q14" s="27">
        <v>0.0</v>
      </c>
      <c r="R14" s="28">
        <f t="shared" si="12"/>
        <v>0</v>
      </c>
      <c r="S14" s="29">
        <f t="shared" si="13"/>
        <v>0</v>
      </c>
      <c r="T14" s="30">
        <f t="shared" si="14"/>
        <v>0</v>
      </c>
      <c r="U14" s="25">
        <f t="shared" si="15"/>
        <v>0</v>
      </c>
      <c r="V14" s="31"/>
      <c r="W14" s="31">
        <f t="shared" si="16"/>
        <v>334.1</v>
      </c>
      <c r="X14" s="31">
        <f t="shared" si="19"/>
        <v>55.68333333</v>
      </c>
      <c r="Y14" s="31">
        <f t="shared" si="17"/>
        <v>17.81866667</v>
      </c>
    </row>
    <row r="15">
      <c r="A15" s="34" t="s">
        <v>36</v>
      </c>
      <c r="B15" s="23">
        <v>1.0</v>
      </c>
      <c r="C15" s="24">
        <v>1.0</v>
      </c>
      <c r="D15" s="25">
        <f t="shared" ref="D15:H15" si="21">$B15*$C15*D$9*$B$28* IF($B$3,$B$5,if($C$3,$C$5,if($D$3,$D$5,0)))/$C$28</f>
        <v>7534.883721</v>
      </c>
      <c r="E15" s="25">
        <f t="shared" si="21"/>
        <v>35162.7907</v>
      </c>
      <c r="F15" s="25">
        <f t="shared" si="21"/>
        <v>40186.04651</v>
      </c>
      <c r="G15" s="25">
        <f t="shared" si="21"/>
        <v>1004.651163</v>
      </c>
      <c r="H15" s="25">
        <f t="shared" si="21"/>
        <v>45209.30233</v>
      </c>
      <c r="I15" s="25">
        <f t="shared" si="5"/>
        <v>129097.6744</v>
      </c>
      <c r="J15" s="23">
        <f t="shared" si="6"/>
        <v>514</v>
      </c>
      <c r="K15" s="26">
        <f t="shared" si="7"/>
        <v>25819.53488</v>
      </c>
      <c r="L15" s="25">
        <f t="shared" si="8"/>
        <v>16782.69767</v>
      </c>
      <c r="M15" s="25">
        <f t="shared" si="9"/>
        <v>4186.046512</v>
      </c>
      <c r="N15" s="26">
        <f t="shared" si="10"/>
        <v>20968.74419</v>
      </c>
      <c r="O15" s="27">
        <v>10.0</v>
      </c>
      <c r="P15" s="25">
        <f t="shared" si="11"/>
        <v>174.7395349</v>
      </c>
      <c r="Q15" s="27">
        <v>10.0</v>
      </c>
      <c r="R15" s="32">
        <f t="shared" si="12"/>
        <v>34414.32233</v>
      </c>
      <c r="S15" s="33">
        <f t="shared" si="13"/>
        <v>286.7860194</v>
      </c>
      <c r="T15" s="25">
        <f t="shared" si="14"/>
        <v>6870.223256</v>
      </c>
      <c r="U15" s="25">
        <f t="shared" si="15"/>
        <v>27544.09908</v>
      </c>
      <c r="V15" s="31"/>
      <c r="W15" s="31">
        <f t="shared" si="16"/>
        <v>83.525</v>
      </c>
      <c r="X15" s="31">
        <f t="shared" si="19"/>
        <v>13.92083333</v>
      </c>
      <c r="Y15" s="31">
        <f t="shared" si="17"/>
        <v>4.454666667</v>
      </c>
    </row>
    <row r="16">
      <c r="A16" s="34" t="s">
        <v>37</v>
      </c>
      <c r="B16" s="23">
        <v>1.0</v>
      </c>
      <c r="C16" s="24">
        <v>1.0</v>
      </c>
      <c r="D16" s="25">
        <f t="shared" ref="D16:H16" si="22">$B16*$C16*D$9*$B$28* IF($B$3,$B$5,if($C$3,$C$5,if($D$3,$D$5,0)))/$C$28</f>
        <v>7534.883721</v>
      </c>
      <c r="E16" s="25">
        <f t="shared" si="22"/>
        <v>35162.7907</v>
      </c>
      <c r="F16" s="25">
        <f t="shared" si="22"/>
        <v>40186.04651</v>
      </c>
      <c r="G16" s="25">
        <f t="shared" si="22"/>
        <v>1004.651163</v>
      </c>
      <c r="H16" s="25">
        <f t="shared" si="22"/>
        <v>45209.30233</v>
      </c>
      <c r="I16" s="25">
        <f t="shared" si="5"/>
        <v>129097.6744</v>
      </c>
      <c r="J16" s="23">
        <f t="shared" si="6"/>
        <v>514</v>
      </c>
      <c r="K16" s="26">
        <f t="shared" si="7"/>
        <v>25819.53488</v>
      </c>
      <c r="L16" s="25">
        <f t="shared" si="8"/>
        <v>16782.69767</v>
      </c>
      <c r="M16" s="25">
        <f t="shared" si="9"/>
        <v>4186.046512</v>
      </c>
      <c r="N16" s="26">
        <f t="shared" si="10"/>
        <v>20968.74419</v>
      </c>
      <c r="O16" s="27">
        <v>9.0</v>
      </c>
      <c r="P16" s="25">
        <f t="shared" si="11"/>
        <v>194.1550388</v>
      </c>
      <c r="Q16" s="27">
        <v>5.0</v>
      </c>
      <c r="R16" s="32">
        <f t="shared" si="12"/>
        <v>34414.32233</v>
      </c>
      <c r="S16" s="33">
        <f t="shared" si="13"/>
        <v>573.5720389</v>
      </c>
      <c r="T16" s="25">
        <f t="shared" si="14"/>
        <v>6870.223256</v>
      </c>
      <c r="U16" s="25">
        <f t="shared" si="15"/>
        <v>27544.09908</v>
      </c>
      <c r="V16" s="31"/>
      <c r="W16" s="31">
        <f t="shared" si="16"/>
        <v>83.525</v>
      </c>
      <c r="X16" s="31">
        <f t="shared" si="19"/>
        <v>13.92083333</v>
      </c>
      <c r="Y16" s="31">
        <f t="shared" si="17"/>
        <v>4.454666667</v>
      </c>
    </row>
    <row r="17">
      <c r="A17" s="34" t="s">
        <v>38</v>
      </c>
      <c r="B17" s="23">
        <v>1.0</v>
      </c>
      <c r="C17" s="24">
        <v>1.0</v>
      </c>
      <c r="D17" s="25">
        <f t="shared" ref="D17:H17" si="23">$B17*$C17*D$9*$B$28* IF($B$3,$B$5,if($C$3,$C$5,if($D$3,$D$5,0)))/$C$28</f>
        <v>7534.883721</v>
      </c>
      <c r="E17" s="25">
        <f t="shared" si="23"/>
        <v>35162.7907</v>
      </c>
      <c r="F17" s="25">
        <f t="shared" si="23"/>
        <v>40186.04651</v>
      </c>
      <c r="G17" s="25">
        <f t="shared" si="23"/>
        <v>1004.651163</v>
      </c>
      <c r="H17" s="25">
        <f t="shared" si="23"/>
        <v>45209.30233</v>
      </c>
      <c r="I17" s="25">
        <f t="shared" si="5"/>
        <v>129097.6744</v>
      </c>
      <c r="J17" s="23">
        <f t="shared" si="6"/>
        <v>514</v>
      </c>
      <c r="K17" s="26">
        <f t="shared" si="7"/>
        <v>25819.53488</v>
      </c>
      <c r="L17" s="25">
        <f t="shared" si="8"/>
        <v>16782.69767</v>
      </c>
      <c r="M17" s="25">
        <f t="shared" si="9"/>
        <v>4186.046512</v>
      </c>
      <c r="N17" s="26">
        <f t="shared" si="10"/>
        <v>20968.74419</v>
      </c>
      <c r="O17" s="27">
        <v>10.0</v>
      </c>
      <c r="P17" s="25">
        <f t="shared" si="11"/>
        <v>174.7395349</v>
      </c>
      <c r="Q17" s="27">
        <v>10.0</v>
      </c>
      <c r="R17" s="32">
        <f t="shared" si="12"/>
        <v>34414.32233</v>
      </c>
      <c r="S17" s="33">
        <f t="shared" si="13"/>
        <v>286.7860194</v>
      </c>
      <c r="T17" s="25">
        <f t="shared" si="14"/>
        <v>6870.223256</v>
      </c>
      <c r="U17" s="25">
        <f t="shared" si="15"/>
        <v>27544.09908</v>
      </c>
      <c r="V17" s="31"/>
      <c r="W17" s="31">
        <f t="shared" si="16"/>
        <v>83.525</v>
      </c>
      <c r="X17" s="31">
        <f t="shared" si="19"/>
        <v>13.92083333</v>
      </c>
      <c r="Y17" s="31">
        <f t="shared" si="17"/>
        <v>4.454666667</v>
      </c>
    </row>
    <row r="18">
      <c r="A18" s="35" t="s">
        <v>39</v>
      </c>
      <c r="B18" s="36">
        <v>2.0</v>
      </c>
      <c r="C18" s="24">
        <v>1.0</v>
      </c>
      <c r="D18" s="25">
        <f t="shared" ref="D18:H18" si="24">$B18*$C18*D$9*$B$28* IF($B$3,$B$5,if($C$3,$C$5,if($D$3,$D$5,0)))/$C$28</f>
        <v>15069.76744</v>
      </c>
      <c r="E18" s="25">
        <f t="shared" si="24"/>
        <v>70325.5814</v>
      </c>
      <c r="F18" s="25">
        <f t="shared" si="24"/>
        <v>80372.09302</v>
      </c>
      <c r="G18" s="25">
        <f t="shared" si="24"/>
        <v>2009.302326</v>
      </c>
      <c r="H18" s="25">
        <f t="shared" si="24"/>
        <v>90418.60465</v>
      </c>
      <c r="I18" s="25">
        <f t="shared" si="5"/>
        <v>258195.3488</v>
      </c>
      <c r="J18" s="23">
        <f t="shared" si="6"/>
        <v>1028</v>
      </c>
      <c r="K18" s="26">
        <f t="shared" si="7"/>
        <v>51639.06977</v>
      </c>
      <c r="L18" s="25">
        <f t="shared" si="8"/>
        <v>33565.39535</v>
      </c>
      <c r="M18" s="25">
        <f t="shared" si="9"/>
        <v>8372.093023</v>
      </c>
      <c r="N18" s="26">
        <f t="shared" si="10"/>
        <v>41937.48837</v>
      </c>
      <c r="O18" s="27">
        <v>12.0</v>
      </c>
      <c r="P18" s="25">
        <f t="shared" si="11"/>
        <v>291.2325581</v>
      </c>
      <c r="Q18" s="27">
        <v>12.0</v>
      </c>
      <c r="R18" s="32">
        <f t="shared" si="12"/>
        <v>68828.64467</v>
      </c>
      <c r="S18" s="33">
        <f t="shared" si="13"/>
        <v>477.9766991</v>
      </c>
      <c r="T18" s="25">
        <f t="shared" si="14"/>
        <v>13740.44651</v>
      </c>
      <c r="U18" s="25">
        <f t="shared" si="15"/>
        <v>55088.19815</v>
      </c>
      <c r="V18" s="31"/>
      <c r="W18" s="31">
        <f t="shared" si="16"/>
        <v>167.05</v>
      </c>
      <c r="X18" s="31">
        <f t="shared" si="19"/>
        <v>27.84166667</v>
      </c>
      <c r="Y18" s="31">
        <f t="shared" si="17"/>
        <v>8.909333333</v>
      </c>
    </row>
    <row r="19">
      <c r="A19" s="34" t="s">
        <v>40</v>
      </c>
      <c r="B19" s="23">
        <v>1.0</v>
      </c>
      <c r="C19" s="24">
        <v>1.0</v>
      </c>
      <c r="D19" s="25">
        <f t="shared" ref="D19:H19" si="25">$B19*$C19*D$9*$B$28* IF($B$3,$B$5,if($C$3,$C$5,if($D$3,$D$5,0)))/$C$28</f>
        <v>7534.883721</v>
      </c>
      <c r="E19" s="25">
        <f t="shared" si="25"/>
        <v>35162.7907</v>
      </c>
      <c r="F19" s="25">
        <f t="shared" si="25"/>
        <v>40186.04651</v>
      </c>
      <c r="G19" s="25">
        <f t="shared" si="25"/>
        <v>1004.651163</v>
      </c>
      <c r="H19" s="25">
        <f t="shared" si="25"/>
        <v>45209.30233</v>
      </c>
      <c r="I19" s="25">
        <f t="shared" si="5"/>
        <v>129097.6744</v>
      </c>
      <c r="J19" s="23">
        <f t="shared" si="6"/>
        <v>514</v>
      </c>
      <c r="K19" s="26">
        <f t="shared" si="7"/>
        <v>25819.53488</v>
      </c>
      <c r="L19" s="25">
        <f t="shared" si="8"/>
        <v>16782.69767</v>
      </c>
      <c r="M19" s="25">
        <f t="shared" si="9"/>
        <v>4186.046512</v>
      </c>
      <c r="N19" s="26">
        <f t="shared" si="10"/>
        <v>20968.74419</v>
      </c>
      <c r="O19" s="27">
        <v>8.0</v>
      </c>
      <c r="P19" s="25">
        <f t="shared" si="11"/>
        <v>218.4244186</v>
      </c>
      <c r="Q19" s="27">
        <v>8.0</v>
      </c>
      <c r="R19" s="32">
        <f t="shared" si="12"/>
        <v>34414.32233</v>
      </c>
      <c r="S19" s="33">
        <f t="shared" si="13"/>
        <v>358.4825243</v>
      </c>
      <c r="T19" s="25">
        <f t="shared" si="14"/>
        <v>6870.223256</v>
      </c>
      <c r="U19" s="25">
        <f t="shared" si="15"/>
        <v>27544.09908</v>
      </c>
      <c r="V19" s="31"/>
      <c r="W19" s="31">
        <f t="shared" si="16"/>
        <v>83.525</v>
      </c>
      <c r="X19" s="31">
        <f t="shared" si="19"/>
        <v>13.92083333</v>
      </c>
      <c r="Y19" s="31">
        <f t="shared" si="17"/>
        <v>4.454666667</v>
      </c>
    </row>
    <row r="20">
      <c r="A20" s="34" t="s">
        <v>41</v>
      </c>
      <c r="B20" s="23">
        <v>1.0</v>
      </c>
      <c r="C20" s="24">
        <v>1.0</v>
      </c>
      <c r="D20" s="25">
        <f t="shared" ref="D20:H20" si="26">$B20*$C20*D$9*$B$28* IF($B$3,$B$5,if($C$3,$C$5,if($D$3,$D$5,0)))/$C$28</f>
        <v>7534.883721</v>
      </c>
      <c r="E20" s="25">
        <f t="shared" si="26"/>
        <v>35162.7907</v>
      </c>
      <c r="F20" s="25">
        <f t="shared" si="26"/>
        <v>40186.04651</v>
      </c>
      <c r="G20" s="25">
        <f t="shared" si="26"/>
        <v>1004.651163</v>
      </c>
      <c r="H20" s="25">
        <f t="shared" si="26"/>
        <v>45209.30233</v>
      </c>
      <c r="I20" s="25">
        <f t="shared" si="5"/>
        <v>129097.6744</v>
      </c>
      <c r="J20" s="23">
        <f t="shared" si="6"/>
        <v>514</v>
      </c>
      <c r="K20" s="26">
        <f t="shared" si="7"/>
        <v>25819.53488</v>
      </c>
      <c r="L20" s="25">
        <f t="shared" si="8"/>
        <v>16782.69767</v>
      </c>
      <c r="M20" s="25">
        <f t="shared" si="9"/>
        <v>4186.046512</v>
      </c>
      <c r="N20" s="26">
        <f t="shared" si="10"/>
        <v>20968.74419</v>
      </c>
      <c r="O20" s="27">
        <v>6.0</v>
      </c>
      <c r="P20" s="25">
        <f t="shared" si="11"/>
        <v>291.2325581</v>
      </c>
      <c r="Q20" s="27">
        <v>6.0</v>
      </c>
      <c r="R20" s="32">
        <f t="shared" si="12"/>
        <v>34414.32233</v>
      </c>
      <c r="S20" s="33">
        <f t="shared" si="13"/>
        <v>477.9766991</v>
      </c>
      <c r="T20" s="25">
        <f t="shared" si="14"/>
        <v>6870.223256</v>
      </c>
      <c r="U20" s="25">
        <f t="shared" si="15"/>
        <v>27544.09908</v>
      </c>
      <c r="V20" s="31"/>
      <c r="W20" s="31">
        <f t="shared" si="16"/>
        <v>83.525</v>
      </c>
      <c r="X20" s="31">
        <f t="shared" si="19"/>
        <v>13.92083333</v>
      </c>
      <c r="Y20" s="31">
        <f t="shared" si="17"/>
        <v>4.454666667</v>
      </c>
    </row>
    <row r="21">
      <c r="A21" s="35" t="s">
        <v>42</v>
      </c>
      <c r="B21" s="37">
        <v>1.0</v>
      </c>
      <c r="C21" s="24">
        <v>1.0</v>
      </c>
      <c r="D21" s="25">
        <f t="shared" ref="D21:H21" si="27">$B21*$C21*D$9*$B$28* IF($B$3,$B$5,if($C$3,$C$5,if($D$3,$D$5,0)))/$C$28</f>
        <v>7534.883721</v>
      </c>
      <c r="E21" s="25">
        <f t="shared" si="27"/>
        <v>35162.7907</v>
      </c>
      <c r="F21" s="25">
        <f t="shared" si="27"/>
        <v>40186.04651</v>
      </c>
      <c r="G21" s="25">
        <f t="shared" si="27"/>
        <v>1004.651163</v>
      </c>
      <c r="H21" s="25">
        <f t="shared" si="27"/>
        <v>45209.30233</v>
      </c>
      <c r="I21" s="25">
        <f t="shared" si="5"/>
        <v>129097.6744</v>
      </c>
      <c r="J21" s="23">
        <f t="shared" si="6"/>
        <v>514</v>
      </c>
      <c r="K21" s="26">
        <f t="shared" si="7"/>
        <v>25819.53488</v>
      </c>
      <c r="L21" s="25">
        <f t="shared" si="8"/>
        <v>16782.69767</v>
      </c>
      <c r="M21" s="25">
        <f t="shared" si="9"/>
        <v>4186.046512</v>
      </c>
      <c r="N21" s="26">
        <f t="shared" si="10"/>
        <v>20968.74419</v>
      </c>
      <c r="O21" s="27">
        <v>8.0</v>
      </c>
      <c r="P21" s="25">
        <f t="shared" si="11"/>
        <v>218.4244186</v>
      </c>
      <c r="Q21" s="27">
        <v>5.0</v>
      </c>
      <c r="R21" s="32">
        <f t="shared" si="12"/>
        <v>34414.32233</v>
      </c>
      <c r="S21" s="33">
        <f t="shared" si="13"/>
        <v>573.5720389</v>
      </c>
      <c r="T21" s="25">
        <f t="shared" si="14"/>
        <v>6870.223256</v>
      </c>
      <c r="U21" s="25">
        <f t="shared" si="15"/>
        <v>27544.09908</v>
      </c>
      <c r="V21" s="31"/>
      <c r="W21" s="31">
        <f t="shared" si="16"/>
        <v>83.525</v>
      </c>
      <c r="X21" s="31">
        <f t="shared" si="19"/>
        <v>13.92083333</v>
      </c>
      <c r="Y21" s="31">
        <f t="shared" si="17"/>
        <v>4.454666667</v>
      </c>
      <c r="Z21" s="38">
        <f>L21/12</f>
        <v>1398.55814</v>
      </c>
    </row>
    <row r="22">
      <c r="A22" s="34" t="s">
        <v>43</v>
      </c>
      <c r="B22" s="23">
        <v>2.0</v>
      </c>
      <c r="C22" s="24">
        <v>0.7</v>
      </c>
      <c r="D22" s="25">
        <f t="shared" ref="D22:H22" si="28">$B22*$C22*D$9*$B$28* IF($B$3,$B$5,if($C$3,$C$5,if($D$3,$D$5,0)))/$C$28</f>
        <v>10548.83721</v>
      </c>
      <c r="E22" s="25">
        <f t="shared" si="28"/>
        <v>49227.90698</v>
      </c>
      <c r="F22" s="25">
        <f t="shared" si="28"/>
        <v>56260.46512</v>
      </c>
      <c r="G22" s="25">
        <f t="shared" si="28"/>
        <v>1406.511628</v>
      </c>
      <c r="H22" s="25">
        <f t="shared" si="28"/>
        <v>63293.02326</v>
      </c>
      <c r="I22" s="25">
        <f t="shared" si="5"/>
        <v>180736.7442</v>
      </c>
      <c r="J22" s="23">
        <f t="shared" si="6"/>
        <v>719.6</v>
      </c>
      <c r="K22" s="26">
        <f t="shared" si="7"/>
        <v>36147.34884</v>
      </c>
      <c r="L22" s="25">
        <f t="shared" si="8"/>
        <v>23495.77674</v>
      </c>
      <c r="M22" s="25">
        <f t="shared" si="9"/>
        <v>5860.465116</v>
      </c>
      <c r="N22" s="26">
        <f t="shared" si="10"/>
        <v>29356.24186</v>
      </c>
      <c r="O22" s="27">
        <v>1.0</v>
      </c>
      <c r="P22" s="25">
        <f t="shared" si="11"/>
        <v>2446.353488</v>
      </c>
      <c r="Q22" s="27">
        <v>1.0</v>
      </c>
      <c r="R22" s="32">
        <f t="shared" si="12"/>
        <v>48180.05127</v>
      </c>
      <c r="S22" s="33">
        <f t="shared" si="13"/>
        <v>4015.004272</v>
      </c>
      <c r="T22" s="25">
        <f t="shared" si="14"/>
        <v>9618.312558</v>
      </c>
      <c r="U22" s="25">
        <f t="shared" si="15"/>
        <v>38561.73871</v>
      </c>
      <c r="V22" s="31"/>
      <c r="W22" s="31">
        <f t="shared" si="16"/>
        <v>116.935</v>
      </c>
      <c r="X22" s="31">
        <f t="shared" si="19"/>
        <v>19.48916667</v>
      </c>
      <c r="Y22" s="31">
        <f t="shared" si="17"/>
        <v>6.236533333</v>
      </c>
    </row>
    <row r="23">
      <c r="A23" s="34" t="s">
        <v>44</v>
      </c>
      <c r="B23" s="23">
        <v>1.0</v>
      </c>
      <c r="C23" s="24">
        <v>0.7</v>
      </c>
      <c r="D23" s="25">
        <f t="shared" ref="D23:H23" si="29">$B23*$C23*D$9*$B$28* IF($B$3,$B$5,if($C$3,$C$5,if($D$3,$D$5,0)))/$C$28</f>
        <v>5274.418605</v>
      </c>
      <c r="E23" s="25">
        <f t="shared" si="29"/>
        <v>24613.95349</v>
      </c>
      <c r="F23" s="25">
        <f t="shared" si="29"/>
        <v>28130.23256</v>
      </c>
      <c r="G23" s="25">
        <f t="shared" si="29"/>
        <v>703.255814</v>
      </c>
      <c r="H23" s="25">
        <f t="shared" si="29"/>
        <v>31646.51163</v>
      </c>
      <c r="I23" s="25">
        <f t="shared" si="5"/>
        <v>90368.37209</v>
      </c>
      <c r="J23" s="23">
        <f t="shared" si="6"/>
        <v>359.8</v>
      </c>
      <c r="K23" s="26">
        <f t="shared" si="7"/>
        <v>18073.67442</v>
      </c>
      <c r="L23" s="25">
        <f t="shared" si="8"/>
        <v>11747.88837</v>
      </c>
      <c r="M23" s="25">
        <f t="shared" si="9"/>
        <v>2930.232558</v>
      </c>
      <c r="N23" s="26">
        <f t="shared" si="10"/>
        <v>14678.12093</v>
      </c>
      <c r="O23" s="27">
        <v>6.0</v>
      </c>
      <c r="P23" s="25">
        <f t="shared" si="11"/>
        <v>203.8627907</v>
      </c>
      <c r="Q23" s="27">
        <v>6.0</v>
      </c>
      <c r="R23" s="32">
        <f t="shared" si="12"/>
        <v>24090.02563</v>
      </c>
      <c r="S23" s="33">
        <f t="shared" si="13"/>
        <v>334.5836893</v>
      </c>
      <c r="T23" s="25">
        <f t="shared" si="14"/>
        <v>4809.156279</v>
      </c>
      <c r="U23" s="25">
        <f t="shared" si="15"/>
        <v>19280.86935</v>
      </c>
      <c r="V23" s="31"/>
      <c r="W23" s="31">
        <f t="shared" si="16"/>
        <v>58.4675</v>
      </c>
      <c r="X23" s="31">
        <f t="shared" si="19"/>
        <v>9.744583333</v>
      </c>
      <c r="Y23" s="31">
        <f t="shared" si="17"/>
        <v>3.118266667</v>
      </c>
    </row>
    <row r="24">
      <c r="A24" s="35" t="s">
        <v>45</v>
      </c>
      <c r="B24" s="23">
        <v>1.0</v>
      </c>
      <c r="C24" s="24">
        <v>0.7</v>
      </c>
      <c r="D24" s="25">
        <f t="shared" ref="D24:H24" si="30">$B24*$C24*D$9*$B$28* IF($B$3,$B$5,if($C$3,$C$5,if($D$3,$D$5,0)))/$C$28</f>
        <v>5274.418605</v>
      </c>
      <c r="E24" s="25">
        <f t="shared" si="30"/>
        <v>24613.95349</v>
      </c>
      <c r="F24" s="25">
        <f t="shared" si="30"/>
        <v>28130.23256</v>
      </c>
      <c r="G24" s="25">
        <f t="shared" si="30"/>
        <v>703.255814</v>
      </c>
      <c r="H24" s="25">
        <f t="shared" si="30"/>
        <v>31646.51163</v>
      </c>
      <c r="I24" s="25">
        <f t="shared" si="5"/>
        <v>90368.37209</v>
      </c>
      <c r="J24" s="23">
        <f t="shared" si="6"/>
        <v>359.8</v>
      </c>
      <c r="K24" s="26">
        <f t="shared" si="7"/>
        <v>18073.67442</v>
      </c>
      <c r="L24" s="25">
        <f t="shared" si="8"/>
        <v>11747.88837</v>
      </c>
      <c r="M24" s="25">
        <f t="shared" si="9"/>
        <v>2930.232558</v>
      </c>
      <c r="N24" s="26">
        <f t="shared" si="10"/>
        <v>14678.12093</v>
      </c>
      <c r="O24" s="27">
        <v>1.0</v>
      </c>
      <c r="P24" s="25">
        <f t="shared" si="11"/>
        <v>1223.176744</v>
      </c>
      <c r="Q24" s="27">
        <v>1.0</v>
      </c>
      <c r="R24" s="32">
        <f t="shared" si="12"/>
        <v>24090.02563</v>
      </c>
      <c r="S24" s="33">
        <f t="shared" si="13"/>
        <v>2007.502136</v>
      </c>
      <c r="T24" s="25">
        <f t="shared" si="14"/>
        <v>4809.156279</v>
      </c>
      <c r="U24" s="25">
        <f t="shared" si="15"/>
        <v>19280.86935</v>
      </c>
      <c r="V24" s="31"/>
      <c r="W24" s="31">
        <f t="shared" si="16"/>
        <v>58.4675</v>
      </c>
      <c r="X24" s="31">
        <f t="shared" si="19"/>
        <v>9.744583333</v>
      </c>
      <c r="Y24" s="31">
        <f t="shared" si="17"/>
        <v>3.118266667</v>
      </c>
    </row>
    <row r="25">
      <c r="A25" s="22" t="s">
        <v>46</v>
      </c>
      <c r="B25" s="23">
        <v>1.0</v>
      </c>
      <c r="C25" s="24">
        <v>0.5</v>
      </c>
      <c r="D25" s="25">
        <f t="shared" ref="D25:H25" si="31">$B25*$C25*D$9*$B$28* IF($B$3,$B$5,if($C$3,$C$5,if($D$3,$D$5,0)))/$C$28</f>
        <v>3767.44186</v>
      </c>
      <c r="E25" s="25">
        <f t="shared" si="31"/>
        <v>17581.39535</v>
      </c>
      <c r="F25" s="25">
        <f t="shared" si="31"/>
        <v>20093.02326</v>
      </c>
      <c r="G25" s="25">
        <f t="shared" si="31"/>
        <v>502.3255814</v>
      </c>
      <c r="H25" s="25">
        <f t="shared" si="31"/>
        <v>22604.65116</v>
      </c>
      <c r="I25" s="25">
        <f t="shared" si="5"/>
        <v>64548.83721</v>
      </c>
      <c r="J25" s="23">
        <f t="shared" si="6"/>
        <v>257</v>
      </c>
      <c r="K25" s="26">
        <f t="shared" si="7"/>
        <v>12909.76744</v>
      </c>
      <c r="L25" s="25">
        <f t="shared" si="8"/>
        <v>8391.348837</v>
      </c>
      <c r="M25" s="25">
        <f t="shared" si="9"/>
        <v>2093.023256</v>
      </c>
      <c r="N25" s="26">
        <f t="shared" si="10"/>
        <v>10484.37209</v>
      </c>
      <c r="O25" s="27">
        <v>1.0</v>
      </c>
      <c r="P25" s="25">
        <f t="shared" si="11"/>
        <v>873.6976744</v>
      </c>
      <c r="Q25" s="27">
        <v>0.0</v>
      </c>
      <c r="R25" s="28">
        <f t="shared" si="12"/>
        <v>0</v>
      </c>
      <c r="S25" s="29">
        <f t="shared" si="13"/>
        <v>0</v>
      </c>
      <c r="T25" s="30">
        <f t="shared" si="14"/>
        <v>0</v>
      </c>
      <c r="U25" s="25">
        <f t="shared" si="15"/>
        <v>0</v>
      </c>
      <c r="V25" s="31"/>
      <c r="W25" s="31">
        <f t="shared" si="16"/>
        <v>41.7625</v>
      </c>
      <c r="X25" s="31">
        <f t="shared" si="19"/>
        <v>6.960416667</v>
      </c>
      <c r="Y25" s="31">
        <f t="shared" si="17"/>
        <v>2.227333333</v>
      </c>
    </row>
    <row r="26">
      <c r="A26" s="34" t="s">
        <v>47</v>
      </c>
      <c r="B26" s="23">
        <v>1.0</v>
      </c>
      <c r="C26" s="24">
        <v>0.3</v>
      </c>
      <c r="D26" s="25">
        <f t="shared" ref="D26:H26" si="32">$B26*$C26*D$9*$B$28* IF($B$3,$B$5,if($C$3,$C$5,if($D$3,$D$5,0)))/$C$28</f>
        <v>2260.465116</v>
      </c>
      <c r="E26" s="25">
        <f t="shared" si="32"/>
        <v>10548.83721</v>
      </c>
      <c r="F26" s="25">
        <f t="shared" si="32"/>
        <v>12055.81395</v>
      </c>
      <c r="G26" s="25">
        <f t="shared" si="32"/>
        <v>301.3953488</v>
      </c>
      <c r="H26" s="25">
        <f t="shared" si="32"/>
        <v>13562.7907</v>
      </c>
      <c r="I26" s="25">
        <f t="shared" si="5"/>
        <v>38729.30233</v>
      </c>
      <c r="J26" s="23">
        <f t="shared" si="6"/>
        <v>154.2</v>
      </c>
      <c r="K26" s="26">
        <f t="shared" si="7"/>
        <v>7745.860465</v>
      </c>
      <c r="L26" s="25">
        <f t="shared" si="8"/>
        <v>5034.809302</v>
      </c>
      <c r="M26" s="25">
        <f t="shared" si="9"/>
        <v>1255.813953</v>
      </c>
      <c r="N26" s="26">
        <f t="shared" si="10"/>
        <v>6290.623256</v>
      </c>
      <c r="O26" s="27">
        <v>11.0</v>
      </c>
      <c r="P26" s="25">
        <f t="shared" si="11"/>
        <v>47.65623679</v>
      </c>
      <c r="Q26" s="27">
        <v>4.0</v>
      </c>
      <c r="R26" s="32">
        <f t="shared" si="12"/>
        <v>10324.2967</v>
      </c>
      <c r="S26" s="33">
        <f t="shared" si="13"/>
        <v>215.0895146</v>
      </c>
      <c r="T26" s="25">
        <f t="shared" si="14"/>
        <v>2061.066977</v>
      </c>
      <c r="U26" s="25">
        <f t="shared" si="15"/>
        <v>8263.229723</v>
      </c>
      <c r="V26" s="31"/>
      <c r="W26" s="31">
        <f t="shared" si="16"/>
        <v>25.0575</v>
      </c>
      <c r="X26" s="31">
        <f t="shared" si="19"/>
        <v>4.17625</v>
      </c>
      <c r="Y26" s="31">
        <f t="shared" si="17"/>
        <v>1.3364</v>
      </c>
    </row>
    <row r="27">
      <c r="A27" s="22" t="s">
        <v>48</v>
      </c>
      <c r="B27" s="23">
        <v>1.0</v>
      </c>
      <c r="C27" s="24">
        <v>0.3</v>
      </c>
      <c r="D27" s="25">
        <f t="shared" ref="D27:H27" si="33">$B27*$C27*D$9*$B$28* IF($B$3,$B$5,if($C$3,$C$5,if($D$3,$D$5,0)))/$C$28</f>
        <v>2260.465116</v>
      </c>
      <c r="E27" s="25">
        <f t="shared" si="33"/>
        <v>10548.83721</v>
      </c>
      <c r="F27" s="25">
        <f t="shared" si="33"/>
        <v>12055.81395</v>
      </c>
      <c r="G27" s="25">
        <f t="shared" si="33"/>
        <v>301.3953488</v>
      </c>
      <c r="H27" s="25">
        <f t="shared" si="33"/>
        <v>13562.7907</v>
      </c>
      <c r="I27" s="25">
        <f t="shared" si="5"/>
        <v>38729.30233</v>
      </c>
      <c r="J27" s="23">
        <f t="shared" si="6"/>
        <v>154.2</v>
      </c>
      <c r="K27" s="26">
        <f t="shared" si="7"/>
        <v>7745.860465</v>
      </c>
      <c r="L27" s="25">
        <f t="shared" si="8"/>
        <v>5034.809302</v>
      </c>
      <c r="M27" s="25">
        <f t="shared" si="9"/>
        <v>1255.813953</v>
      </c>
      <c r="N27" s="26">
        <f t="shared" si="10"/>
        <v>6290.623256</v>
      </c>
      <c r="O27" s="27">
        <v>8.0</v>
      </c>
      <c r="P27" s="25">
        <f t="shared" si="11"/>
        <v>65.52732558</v>
      </c>
      <c r="Q27" s="27">
        <v>0.0</v>
      </c>
      <c r="R27" s="28">
        <f t="shared" si="12"/>
        <v>0</v>
      </c>
      <c r="S27" s="29">
        <f t="shared" si="13"/>
        <v>0</v>
      </c>
      <c r="T27" s="30">
        <f t="shared" si="14"/>
        <v>0</v>
      </c>
      <c r="U27" s="25">
        <f t="shared" si="15"/>
        <v>0</v>
      </c>
      <c r="V27" s="31"/>
      <c r="W27" s="31">
        <f t="shared" si="16"/>
        <v>25.0575</v>
      </c>
      <c r="X27" s="31">
        <f t="shared" si="19"/>
        <v>4.17625</v>
      </c>
      <c r="Y27" s="31">
        <f t="shared" si="17"/>
        <v>1.3364</v>
      </c>
    </row>
    <row r="28">
      <c r="A28" s="8" t="s">
        <v>49</v>
      </c>
      <c r="B28" s="39">
        <f>sum(B11:B27)</f>
        <v>27</v>
      </c>
      <c r="C28" s="40">
        <f>SUMProduct(B11:B27,C11:C27)</f>
        <v>21.5</v>
      </c>
      <c r="D28" s="41">
        <f t="shared" ref="D28:H28" si="34">sum(D11:D27)</f>
        <v>162000</v>
      </c>
      <c r="E28" s="41">
        <f t="shared" si="34"/>
        <v>756000</v>
      </c>
      <c r="F28" s="41">
        <f t="shared" si="34"/>
        <v>864000</v>
      </c>
      <c r="G28" s="41">
        <f t="shared" si="34"/>
        <v>21600</v>
      </c>
      <c r="H28" s="41">
        <f t="shared" si="34"/>
        <v>972000</v>
      </c>
      <c r="I28" s="41">
        <f t="shared" si="5"/>
        <v>2775600</v>
      </c>
      <c r="J28" s="42">
        <f>SUM(J11:J27)</f>
        <v>11051</v>
      </c>
      <c r="K28" s="43">
        <f>SUM(K1:K27)</f>
        <v>555634</v>
      </c>
      <c r="L28" s="41">
        <f>SUM(L11:L27)</f>
        <v>360828</v>
      </c>
      <c r="M28" s="41">
        <f t="shared" ref="M28:O28" si="35">SUM(M10:M27)</f>
        <v>90000</v>
      </c>
      <c r="N28" s="43">
        <f t="shared" si="35"/>
        <v>450828</v>
      </c>
      <c r="O28" s="44">
        <f t="shared" si="35"/>
        <v>107</v>
      </c>
      <c r="P28" s="16" t="s">
        <v>2</v>
      </c>
      <c r="Q28" s="44">
        <f>SUM(Q10:Q27)</f>
        <v>74</v>
      </c>
      <c r="R28" s="43">
        <f>SUM(R11:R27)</f>
        <v>450827.6226</v>
      </c>
      <c r="S28" s="16" t="s">
        <v>2</v>
      </c>
      <c r="T28" s="43">
        <f t="shared" ref="T28:U28" si="36">SUM(T10:T27)</f>
        <v>89999.92465</v>
      </c>
      <c r="U28" s="43">
        <f t="shared" si="36"/>
        <v>360827.6979</v>
      </c>
      <c r="V28" s="44"/>
      <c r="W28" s="44">
        <f t="shared" ref="W28:Y28" si="37">SUM(W10:W27)</f>
        <v>1795.7875</v>
      </c>
      <c r="X28" s="44">
        <f t="shared" si="37"/>
        <v>251.8557167</v>
      </c>
      <c r="Y28" s="44">
        <f t="shared" si="37"/>
        <v>95.77533333</v>
      </c>
    </row>
    <row r="29">
      <c r="A29" s="45"/>
      <c r="D29" s="6" t="s">
        <v>2</v>
      </c>
      <c r="G29" s="6" t="s">
        <v>2</v>
      </c>
      <c r="H29" s="46" t="s">
        <v>2</v>
      </c>
      <c r="J29" s="47" t="s">
        <v>2</v>
      </c>
      <c r="L29" s="39">
        <f>J28*(1-$L$9)</f>
        <v>7183.15</v>
      </c>
      <c r="N29" s="48">
        <f>N28/K28</f>
        <v>0.8113758337</v>
      </c>
      <c r="Q29" s="38">
        <f>R28/Q28</f>
        <v>6092.26517</v>
      </c>
      <c r="R29" s="49">
        <f>R28/360</f>
        <v>1252.298952</v>
      </c>
      <c r="V29" s="6"/>
      <c r="W29" s="50">
        <f>W28*4</f>
        <v>7183.15</v>
      </c>
    </row>
    <row r="30">
      <c r="A30" s="45"/>
      <c r="D30" s="6"/>
      <c r="G30" s="6"/>
      <c r="H30" s="46"/>
      <c r="J30" s="6" t="s">
        <v>2</v>
      </c>
      <c r="L30" s="51">
        <f>L29*C5</f>
        <v>158029.3</v>
      </c>
      <c r="M30" s="38">
        <f>L29*C6</f>
        <v>2844527.4</v>
      </c>
      <c r="Q30" s="38">
        <f>Q29/360</f>
        <v>16.9229588</v>
      </c>
    </row>
    <row r="31">
      <c r="A31" s="52" t="s">
        <v>50</v>
      </c>
      <c r="L31" s="53">
        <f>L29/4</f>
        <v>1795.7875</v>
      </c>
      <c r="R31" s="6">
        <v>10.0</v>
      </c>
      <c r="S31" s="21">
        <f>LET(n,R31,
LINEARSUM_,LAMBDA(
self,n,
IF(n&lt;2,n,n + self(self,n-1))),
LINEARSUM_(LINEARSUM_,n))</f>
        <v>55</v>
      </c>
    </row>
    <row r="32">
      <c r="A32" s="45"/>
      <c r="B32" s="6" t="s">
        <v>2</v>
      </c>
      <c r="C32" s="6" t="s">
        <v>2</v>
      </c>
      <c r="D32" s="6" t="s">
        <v>2</v>
      </c>
      <c r="E32" s="6" t="s">
        <v>2</v>
      </c>
    </row>
    <row r="33">
      <c r="A33" s="54"/>
      <c r="B33" s="52" t="s">
        <v>51</v>
      </c>
      <c r="C33" s="52" t="s">
        <v>52</v>
      </c>
      <c r="D33" s="52" t="s">
        <v>53</v>
      </c>
      <c r="E33" s="52" t="s">
        <v>54</v>
      </c>
      <c r="F33" s="52" t="s">
        <v>55</v>
      </c>
    </row>
    <row r="34">
      <c r="A34" s="55" t="s">
        <v>56</v>
      </c>
      <c r="B34" s="56">
        <f>500*1*0.5</f>
        <v>250</v>
      </c>
      <c r="C34" s="57">
        <f>((0.33+0.8+0.7)/3)*5</f>
        <v>3.05</v>
      </c>
      <c r="D34" s="58">
        <f t="shared" ref="D34:D37" si="38">B34/C34</f>
        <v>81.96721311</v>
      </c>
      <c r="E34" s="59">
        <v>20.0</v>
      </c>
      <c r="F34" s="60">
        <f t="shared" ref="F34:F37" si="39">D34/E34</f>
        <v>4.098360656</v>
      </c>
    </row>
    <row r="35">
      <c r="A35" s="55" t="s">
        <v>57</v>
      </c>
      <c r="B35" s="56">
        <f>B34/2</f>
        <v>125</v>
      </c>
      <c r="C35" s="57">
        <f>C34</f>
        <v>3.05</v>
      </c>
      <c r="D35" s="58">
        <f t="shared" si="38"/>
        <v>40.98360656</v>
      </c>
      <c r="E35" s="59">
        <v>20.0</v>
      </c>
      <c r="F35" s="60">
        <f t="shared" si="39"/>
        <v>2.049180328</v>
      </c>
    </row>
    <row r="36">
      <c r="A36" s="55" t="s">
        <v>58</v>
      </c>
      <c r="B36" s="56">
        <f t="shared" ref="B36:B37" si="40">B34</f>
        <v>250</v>
      </c>
      <c r="C36" s="57">
        <f>((2+2.5)/2)*5</f>
        <v>11.25</v>
      </c>
      <c r="D36" s="58">
        <f t="shared" si="38"/>
        <v>22.22222222</v>
      </c>
      <c r="E36" s="59">
        <v>20.0</v>
      </c>
      <c r="F36" s="60">
        <f t="shared" si="39"/>
        <v>1.111111111</v>
      </c>
    </row>
    <row r="37">
      <c r="A37" s="55" t="s">
        <v>59</v>
      </c>
      <c r="B37" s="56">
        <f t="shared" si="40"/>
        <v>125</v>
      </c>
      <c r="C37" s="57">
        <f>C36</f>
        <v>11.25</v>
      </c>
      <c r="D37" s="58">
        <f t="shared" si="38"/>
        <v>11.11111111</v>
      </c>
      <c r="E37" s="59">
        <v>20.0</v>
      </c>
      <c r="F37" s="60">
        <f t="shared" si="39"/>
        <v>0.5555555556</v>
      </c>
    </row>
    <row r="38">
      <c r="A38" s="45"/>
    </row>
    <row r="39">
      <c r="A39" s="61" t="s">
        <v>60</v>
      </c>
      <c r="B39" s="6" t="s">
        <v>61</v>
      </c>
    </row>
    <row r="40">
      <c r="A40" s="45"/>
      <c r="B40" s="6" t="s">
        <v>62</v>
      </c>
    </row>
    <row r="41">
      <c r="A41" s="45"/>
      <c r="B41" s="6" t="s">
        <v>63</v>
      </c>
    </row>
    <row r="42">
      <c r="A42" s="45"/>
    </row>
    <row r="43">
      <c r="A43" s="45"/>
    </row>
    <row r="44">
      <c r="A44" s="45"/>
    </row>
    <row r="45">
      <c r="A45" s="45"/>
    </row>
    <row r="46">
      <c r="A46" s="45"/>
    </row>
    <row r="47">
      <c r="A47" s="45"/>
    </row>
    <row r="48">
      <c r="A48" s="45"/>
    </row>
    <row r="49">
      <c r="A49" s="45"/>
    </row>
    <row r="50">
      <c r="A50" s="45"/>
    </row>
    <row r="51">
      <c r="A51" s="45"/>
    </row>
    <row r="52">
      <c r="A52" s="45"/>
    </row>
    <row r="53">
      <c r="A53" s="45"/>
    </row>
    <row r="54">
      <c r="A54" s="45"/>
    </row>
    <row r="55">
      <c r="A55" s="45"/>
    </row>
    <row r="56">
      <c r="A56" s="45"/>
    </row>
    <row r="57">
      <c r="A57" s="45"/>
    </row>
    <row r="58">
      <c r="A58" s="45"/>
    </row>
    <row r="59">
      <c r="A59" s="45"/>
    </row>
    <row r="60">
      <c r="A60" s="45"/>
    </row>
    <row r="61">
      <c r="A61" s="45"/>
    </row>
    <row r="62">
      <c r="A62" s="45"/>
    </row>
    <row r="63">
      <c r="A63" s="45"/>
    </row>
    <row r="64">
      <c r="A64" s="45"/>
    </row>
    <row r="65">
      <c r="A65" s="45"/>
    </row>
    <row r="66">
      <c r="A66" s="45"/>
    </row>
    <row r="67">
      <c r="A67" s="45"/>
    </row>
    <row r="68">
      <c r="A68" s="45"/>
    </row>
    <row r="69">
      <c r="A69" s="45"/>
    </row>
    <row r="70">
      <c r="A70" s="45"/>
    </row>
    <row r="71">
      <c r="A71" s="45"/>
    </row>
    <row r="72">
      <c r="A72" s="45"/>
    </row>
    <row r="73">
      <c r="A73" s="45"/>
    </row>
    <row r="74">
      <c r="A74" s="45"/>
    </row>
    <row r="75">
      <c r="A75" s="45"/>
    </row>
    <row r="76">
      <c r="A76" s="45"/>
    </row>
    <row r="77">
      <c r="A77" s="45"/>
    </row>
    <row r="78">
      <c r="A78" s="45"/>
    </row>
    <row r="79">
      <c r="A79" s="45"/>
    </row>
    <row r="80">
      <c r="A80" s="45"/>
    </row>
    <row r="81">
      <c r="A81" s="45"/>
    </row>
    <row r="82">
      <c r="A82" s="45"/>
    </row>
    <row r="83">
      <c r="A83" s="45"/>
    </row>
    <row r="84">
      <c r="A84" s="45"/>
    </row>
    <row r="85">
      <c r="A85" s="45"/>
    </row>
    <row r="86">
      <c r="A86" s="45"/>
    </row>
    <row r="87">
      <c r="A87" s="45"/>
    </row>
    <row r="88">
      <c r="A88" s="45"/>
    </row>
    <row r="89">
      <c r="A89" s="45"/>
    </row>
    <row r="90">
      <c r="A90" s="45"/>
    </row>
    <row r="91">
      <c r="A91" s="45"/>
    </row>
    <row r="92">
      <c r="A92" s="45"/>
    </row>
    <row r="93">
      <c r="A93" s="45"/>
    </row>
    <row r="94">
      <c r="A94" s="45"/>
    </row>
    <row r="95">
      <c r="A95" s="45"/>
    </row>
    <row r="96">
      <c r="A96" s="45"/>
    </row>
    <row r="97">
      <c r="A97" s="45"/>
    </row>
    <row r="98">
      <c r="A98" s="45"/>
    </row>
    <row r="99">
      <c r="A99" s="45"/>
    </row>
    <row r="100">
      <c r="A100" s="45"/>
    </row>
    <row r="101">
      <c r="A101" s="45"/>
    </row>
    <row r="102">
      <c r="A102" s="45"/>
    </row>
    <row r="103">
      <c r="A103" s="45"/>
    </row>
    <row r="104">
      <c r="A104" s="45"/>
    </row>
    <row r="105">
      <c r="A105" s="45"/>
    </row>
    <row r="106">
      <c r="A106" s="45"/>
    </row>
    <row r="107">
      <c r="A107" s="45"/>
    </row>
    <row r="108">
      <c r="A108" s="45"/>
    </row>
    <row r="109">
      <c r="A109" s="45"/>
    </row>
    <row r="110">
      <c r="A110" s="45"/>
    </row>
    <row r="111">
      <c r="A111" s="45"/>
    </row>
    <row r="112">
      <c r="A112" s="45"/>
    </row>
    <row r="113">
      <c r="A113" s="45"/>
    </row>
    <row r="114">
      <c r="A114" s="45"/>
    </row>
    <row r="115">
      <c r="A115" s="45"/>
    </row>
    <row r="116">
      <c r="A116" s="45"/>
    </row>
    <row r="117">
      <c r="A117" s="45"/>
    </row>
    <row r="118">
      <c r="A118" s="45"/>
    </row>
    <row r="119">
      <c r="A119" s="45"/>
    </row>
    <row r="120">
      <c r="A120" s="45"/>
    </row>
    <row r="121">
      <c r="A121" s="45"/>
    </row>
    <row r="122">
      <c r="A122" s="45"/>
    </row>
    <row r="123">
      <c r="A123" s="45"/>
    </row>
    <row r="124">
      <c r="A124" s="45"/>
    </row>
    <row r="125">
      <c r="A125" s="45"/>
    </row>
    <row r="126">
      <c r="A126" s="45"/>
    </row>
    <row r="127">
      <c r="A127" s="45"/>
    </row>
    <row r="128">
      <c r="A128" s="45"/>
    </row>
    <row r="129">
      <c r="A129" s="45"/>
    </row>
    <row r="130">
      <c r="A130" s="45"/>
    </row>
    <row r="131">
      <c r="A131" s="45"/>
    </row>
    <row r="132">
      <c r="A132" s="45"/>
    </row>
    <row r="133">
      <c r="A133" s="45"/>
    </row>
    <row r="134">
      <c r="A134" s="45"/>
    </row>
    <row r="135">
      <c r="A135" s="45"/>
    </row>
    <row r="136">
      <c r="A136" s="45"/>
    </row>
    <row r="137">
      <c r="A137" s="45"/>
    </row>
    <row r="138">
      <c r="A138" s="45"/>
    </row>
    <row r="139">
      <c r="A139" s="45"/>
    </row>
    <row r="140">
      <c r="A140" s="45"/>
    </row>
    <row r="141">
      <c r="A141" s="45"/>
    </row>
    <row r="142">
      <c r="A142" s="45"/>
    </row>
    <row r="143">
      <c r="A143" s="45"/>
    </row>
    <row r="144">
      <c r="A144" s="45"/>
    </row>
    <row r="145">
      <c r="A145" s="45"/>
    </row>
    <row r="146">
      <c r="A146" s="45"/>
    </row>
    <row r="147">
      <c r="A147" s="45"/>
    </row>
    <row r="148">
      <c r="A148" s="45"/>
    </row>
    <row r="149">
      <c r="A149" s="45"/>
    </row>
    <row r="150">
      <c r="A150" s="45"/>
    </row>
    <row r="151">
      <c r="A151" s="45"/>
    </row>
    <row r="152">
      <c r="A152" s="45"/>
    </row>
    <row r="153">
      <c r="A153" s="45"/>
    </row>
    <row r="154">
      <c r="A154" s="45"/>
    </row>
    <row r="155">
      <c r="A155" s="45"/>
    </row>
    <row r="156">
      <c r="A156" s="45"/>
    </row>
    <row r="157">
      <c r="A157" s="45"/>
    </row>
    <row r="158">
      <c r="A158" s="45"/>
    </row>
    <row r="159">
      <c r="A159" s="45"/>
    </row>
    <row r="160">
      <c r="A160" s="45"/>
    </row>
    <row r="161">
      <c r="A161" s="45"/>
    </row>
    <row r="162">
      <c r="A162" s="45"/>
    </row>
    <row r="163">
      <c r="A163" s="45"/>
    </row>
    <row r="164">
      <c r="A164" s="45"/>
    </row>
    <row r="165">
      <c r="A165" s="45"/>
    </row>
    <row r="166">
      <c r="A166" s="45"/>
    </row>
    <row r="167">
      <c r="A167" s="45"/>
    </row>
    <row r="168">
      <c r="A168" s="45"/>
    </row>
    <row r="169">
      <c r="A169" s="45"/>
    </row>
    <row r="170">
      <c r="A170" s="45"/>
    </row>
    <row r="171">
      <c r="A171" s="45"/>
    </row>
    <row r="172">
      <c r="A172" s="45"/>
    </row>
    <row r="173">
      <c r="A173" s="45"/>
    </row>
    <row r="174">
      <c r="A174" s="45"/>
    </row>
    <row r="175">
      <c r="A175" s="45"/>
    </row>
    <row r="176">
      <c r="A176" s="45"/>
    </row>
    <row r="177">
      <c r="A177" s="45"/>
    </row>
    <row r="178">
      <c r="A178" s="45"/>
    </row>
    <row r="179">
      <c r="A179" s="45"/>
    </row>
    <row r="180">
      <c r="A180" s="45"/>
    </row>
    <row r="181">
      <c r="A181" s="45"/>
    </row>
    <row r="182">
      <c r="A182" s="45"/>
    </row>
    <row r="183">
      <c r="A183" s="45"/>
    </row>
    <row r="184">
      <c r="A184" s="45"/>
    </row>
    <row r="185">
      <c r="A185" s="45"/>
    </row>
    <row r="186">
      <c r="A186" s="45"/>
    </row>
    <row r="187">
      <c r="A187" s="45"/>
    </row>
    <row r="188">
      <c r="A188" s="45"/>
    </row>
    <row r="189">
      <c r="A189" s="45"/>
    </row>
    <row r="190">
      <c r="A190" s="45"/>
    </row>
    <row r="191">
      <c r="A191" s="45"/>
    </row>
    <row r="192">
      <c r="A192" s="45"/>
    </row>
    <row r="193">
      <c r="A193" s="45"/>
    </row>
    <row r="194">
      <c r="A194" s="45"/>
    </row>
    <row r="195">
      <c r="A195" s="45"/>
    </row>
    <row r="196">
      <c r="A196" s="45"/>
    </row>
    <row r="197">
      <c r="A197" s="45"/>
    </row>
    <row r="198">
      <c r="A198" s="45"/>
    </row>
    <row r="199">
      <c r="A199" s="45"/>
    </row>
    <row r="200">
      <c r="A200" s="45"/>
    </row>
    <row r="201">
      <c r="A201" s="45"/>
    </row>
    <row r="202">
      <c r="A202" s="45"/>
    </row>
    <row r="203">
      <c r="A203" s="45"/>
    </row>
    <row r="204">
      <c r="A204" s="45"/>
    </row>
    <row r="205">
      <c r="A205" s="45"/>
    </row>
    <row r="206">
      <c r="A206" s="45"/>
    </row>
    <row r="207">
      <c r="A207" s="45"/>
    </row>
    <row r="208">
      <c r="A208" s="45"/>
    </row>
    <row r="209">
      <c r="A209" s="45"/>
    </row>
    <row r="210">
      <c r="A210" s="45"/>
    </row>
    <row r="211">
      <c r="A211" s="45"/>
    </row>
    <row r="212">
      <c r="A212" s="45"/>
    </row>
    <row r="213">
      <c r="A213" s="45"/>
    </row>
    <row r="214">
      <c r="A214" s="45"/>
    </row>
    <row r="215">
      <c r="A215" s="45"/>
    </row>
    <row r="216">
      <c r="A216" s="45"/>
    </row>
    <row r="217">
      <c r="A217" s="45"/>
    </row>
    <row r="218">
      <c r="A218" s="45"/>
    </row>
    <row r="219">
      <c r="A219" s="45"/>
    </row>
    <row r="220">
      <c r="A220" s="45"/>
    </row>
    <row r="221">
      <c r="A221" s="45"/>
    </row>
    <row r="222">
      <c r="A222" s="45"/>
    </row>
    <row r="223">
      <c r="A223" s="45"/>
    </row>
    <row r="224">
      <c r="A224" s="45"/>
    </row>
    <row r="225">
      <c r="A225" s="45"/>
    </row>
    <row r="226">
      <c r="A226" s="45"/>
    </row>
    <row r="227">
      <c r="A227" s="45"/>
    </row>
    <row r="228">
      <c r="A228" s="45"/>
    </row>
    <row r="229">
      <c r="A229" s="45"/>
    </row>
    <row r="230">
      <c r="A230" s="45"/>
    </row>
    <row r="231">
      <c r="A231" s="45"/>
    </row>
    <row r="232">
      <c r="A232" s="45"/>
    </row>
    <row r="233">
      <c r="A233" s="45"/>
    </row>
    <row r="234">
      <c r="A234" s="45"/>
    </row>
    <row r="235">
      <c r="A235" s="45"/>
    </row>
    <row r="236">
      <c r="A236" s="45"/>
    </row>
    <row r="237">
      <c r="A237" s="45"/>
    </row>
    <row r="238">
      <c r="A238" s="45"/>
    </row>
    <row r="239">
      <c r="A239" s="45"/>
    </row>
    <row r="240">
      <c r="A240" s="45"/>
    </row>
    <row r="241">
      <c r="A241" s="45"/>
    </row>
    <row r="242">
      <c r="A242" s="45"/>
    </row>
    <row r="243">
      <c r="A243" s="45"/>
    </row>
    <row r="244">
      <c r="A244" s="45"/>
    </row>
    <row r="245">
      <c r="A245" s="45"/>
    </row>
    <row r="246">
      <c r="A246" s="45"/>
    </row>
    <row r="247">
      <c r="A247" s="45"/>
    </row>
    <row r="248">
      <c r="A248" s="45"/>
    </row>
    <row r="249">
      <c r="A249" s="45"/>
    </row>
    <row r="250">
      <c r="A250" s="45"/>
    </row>
    <row r="251">
      <c r="A251" s="45"/>
    </row>
    <row r="252">
      <c r="A252" s="45"/>
    </row>
    <row r="253">
      <c r="A253" s="45"/>
    </row>
    <row r="254">
      <c r="A254" s="45"/>
    </row>
    <row r="255">
      <c r="A255" s="45"/>
    </row>
    <row r="256">
      <c r="A256" s="45"/>
    </row>
    <row r="257">
      <c r="A257" s="45"/>
    </row>
    <row r="258">
      <c r="A258" s="45"/>
    </row>
    <row r="259">
      <c r="A259" s="45"/>
    </row>
    <row r="260">
      <c r="A260" s="45"/>
    </row>
    <row r="261">
      <c r="A261" s="45"/>
    </row>
    <row r="262">
      <c r="A262" s="45"/>
    </row>
    <row r="263">
      <c r="A263" s="45"/>
    </row>
    <row r="264">
      <c r="A264" s="45"/>
    </row>
    <row r="265">
      <c r="A265" s="45"/>
    </row>
    <row r="266">
      <c r="A266" s="45"/>
    </row>
    <row r="267">
      <c r="A267" s="45"/>
    </row>
    <row r="268">
      <c r="A268" s="45"/>
    </row>
    <row r="269">
      <c r="A269" s="45"/>
    </row>
    <row r="270">
      <c r="A270" s="45"/>
    </row>
    <row r="271">
      <c r="A271" s="45"/>
    </row>
    <row r="272">
      <c r="A272" s="45"/>
    </row>
    <row r="273">
      <c r="A273" s="45"/>
    </row>
    <row r="274">
      <c r="A274" s="45"/>
    </row>
    <row r="275">
      <c r="A275" s="45"/>
    </row>
    <row r="276">
      <c r="A276" s="45"/>
    </row>
    <row r="277">
      <c r="A277" s="45"/>
    </row>
    <row r="278">
      <c r="A278" s="45"/>
    </row>
    <row r="279">
      <c r="A279" s="45"/>
    </row>
    <row r="280">
      <c r="A280" s="45"/>
    </row>
    <row r="281">
      <c r="A281" s="45"/>
    </row>
    <row r="282">
      <c r="A282" s="45"/>
    </row>
    <row r="283">
      <c r="A283" s="45"/>
    </row>
    <row r="284">
      <c r="A284" s="45"/>
    </row>
    <row r="285">
      <c r="A285" s="45"/>
    </row>
    <row r="286">
      <c r="A286" s="45"/>
    </row>
    <row r="287">
      <c r="A287" s="45"/>
    </row>
    <row r="288">
      <c r="A288" s="45"/>
    </row>
    <row r="289">
      <c r="A289" s="45"/>
    </row>
    <row r="290">
      <c r="A290" s="45"/>
    </row>
    <row r="291">
      <c r="A291" s="45"/>
    </row>
    <row r="292">
      <c r="A292" s="45"/>
    </row>
    <row r="293">
      <c r="A293" s="45"/>
    </row>
    <row r="294">
      <c r="A294" s="45"/>
    </row>
    <row r="295">
      <c r="A295" s="45"/>
    </row>
    <row r="296">
      <c r="A296" s="45"/>
    </row>
    <row r="297">
      <c r="A297" s="45"/>
    </row>
    <row r="298">
      <c r="A298" s="45"/>
    </row>
    <row r="299">
      <c r="A299" s="45"/>
    </row>
    <row r="300">
      <c r="A300" s="45"/>
    </row>
    <row r="301">
      <c r="A301" s="45"/>
    </row>
    <row r="302">
      <c r="A302" s="45"/>
    </row>
    <row r="303">
      <c r="A303" s="45"/>
    </row>
    <row r="304">
      <c r="A304" s="45"/>
    </row>
    <row r="305">
      <c r="A305" s="45"/>
    </row>
    <row r="306">
      <c r="A306" s="45"/>
    </row>
    <row r="307">
      <c r="A307" s="45"/>
    </row>
    <row r="308">
      <c r="A308" s="45"/>
    </row>
    <row r="309">
      <c r="A309" s="45"/>
    </row>
    <row r="310">
      <c r="A310" s="45"/>
    </row>
    <row r="311">
      <c r="A311" s="45"/>
    </row>
    <row r="312">
      <c r="A312" s="45"/>
    </row>
    <row r="313">
      <c r="A313" s="45"/>
    </row>
    <row r="314">
      <c r="A314" s="45"/>
    </row>
    <row r="315">
      <c r="A315" s="45"/>
    </row>
    <row r="316">
      <c r="A316" s="45"/>
    </row>
    <row r="317">
      <c r="A317" s="45"/>
    </row>
    <row r="318">
      <c r="A318" s="45"/>
    </row>
    <row r="319">
      <c r="A319" s="45"/>
    </row>
    <row r="320">
      <c r="A320" s="45"/>
    </row>
    <row r="321">
      <c r="A321" s="45"/>
    </row>
    <row r="322">
      <c r="A322" s="45"/>
    </row>
    <row r="323">
      <c r="A323" s="45"/>
    </row>
    <row r="324">
      <c r="A324" s="45"/>
    </row>
    <row r="325">
      <c r="A325" s="45"/>
    </row>
    <row r="326">
      <c r="A326" s="45"/>
    </row>
    <row r="327">
      <c r="A327" s="45"/>
    </row>
    <row r="328">
      <c r="A328" s="45"/>
    </row>
    <row r="329">
      <c r="A329" s="45"/>
    </row>
    <row r="330">
      <c r="A330" s="45"/>
    </row>
    <row r="331">
      <c r="A331" s="45"/>
    </row>
    <row r="332">
      <c r="A332" s="45"/>
    </row>
    <row r="333">
      <c r="A333" s="45"/>
    </row>
    <row r="334">
      <c r="A334" s="45"/>
    </row>
    <row r="335">
      <c r="A335" s="45"/>
    </row>
    <row r="336">
      <c r="A336" s="45"/>
    </row>
    <row r="337">
      <c r="A337" s="45"/>
    </row>
    <row r="338">
      <c r="A338" s="45"/>
    </row>
    <row r="339">
      <c r="A339" s="45"/>
    </row>
    <row r="340">
      <c r="A340" s="45"/>
    </row>
    <row r="341">
      <c r="A341" s="45"/>
    </row>
    <row r="342">
      <c r="A342" s="45"/>
    </row>
    <row r="343">
      <c r="A343" s="45"/>
    </row>
    <row r="344">
      <c r="A344" s="45"/>
    </row>
    <row r="345">
      <c r="A345" s="45"/>
    </row>
    <row r="346">
      <c r="A346" s="45"/>
    </row>
    <row r="347">
      <c r="A347" s="45"/>
    </row>
    <row r="348">
      <c r="A348" s="45"/>
    </row>
    <row r="349">
      <c r="A349" s="45"/>
    </row>
    <row r="350">
      <c r="A350" s="45"/>
    </row>
    <row r="351">
      <c r="A351" s="45"/>
    </row>
    <row r="352">
      <c r="A352" s="45"/>
    </row>
    <row r="353">
      <c r="A353" s="45"/>
    </row>
    <row r="354">
      <c r="A354" s="45"/>
    </row>
    <row r="355">
      <c r="A355" s="45"/>
    </row>
    <row r="356">
      <c r="A356" s="45"/>
    </row>
    <row r="357">
      <c r="A357" s="45"/>
    </row>
    <row r="358">
      <c r="A358" s="45"/>
    </row>
    <row r="359">
      <c r="A359" s="45"/>
    </row>
    <row r="360">
      <c r="A360" s="45"/>
    </row>
    <row r="361">
      <c r="A361" s="45"/>
    </row>
    <row r="362">
      <c r="A362" s="45"/>
    </row>
    <row r="363">
      <c r="A363" s="45"/>
    </row>
    <row r="364">
      <c r="A364" s="45"/>
    </row>
    <row r="365">
      <c r="A365" s="45"/>
    </row>
    <row r="366">
      <c r="A366" s="45"/>
    </row>
    <row r="367">
      <c r="A367" s="45"/>
    </row>
    <row r="368">
      <c r="A368" s="45"/>
    </row>
    <row r="369">
      <c r="A369" s="45"/>
    </row>
    <row r="370">
      <c r="A370" s="45"/>
    </row>
    <row r="371">
      <c r="A371" s="45"/>
    </row>
    <row r="372">
      <c r="A372" s="45"/>
    </row>
    <row r="373">
      <c r="A373" s="45"/>
    </row>
    <row r="374">
      <c r="A374" s="45"/>
    </row>
    <row r="375">
      <c r="A375" s="45"/>
    </row>
    <row r="376">
      <c r="A376" s="45"/>
    </row>
    <row r="377">
      <c r="A377" s="45"/>
    </row>
    <row r="378">
      <c r="A378" s="45"/>
    </row>
    <row r="379">
      <c r="A379" s="45"/>
    </row>
    <row r="380">
      <c r="A380" s="45"/>
    </row>
    <row r="381">
      <c r="A381" s="45"/>
    </row>
    <row r="382">
      <c r="A382" s="45"/>
    </row>
    <row r="383">
      <c r="A383" s="45"/>
    </row>
    <row r="384">
      <c r="A384" s="45"/>
    </row>
    <row r="385">
      <c r="A385" s="45"/>
    </row>
    <row r="386">
      <c r="A386" s="45"/>
    </row>
    <row r="387">
      <c r="A387" s="45"/>
    </row>
    <row r="388">
      <c r="A388" s="45"/>
    </row>
    <row r="389">
      <c r="A389" s="45"/>
    </row>
    <row r="390">
      <c r="A390" s="45"/>
    </row>
    <row r="391">
      <c r="A391" s="45"/>
    </row>
    <row r="392">
      <c r="A392" s="45"/>
    </row>
    <row r="393">
      <c r="A393" s="45"/>
    </row>
    <row r="394">
      <c r="A394" s="45"/>
    </row>
    <row r="395">
      <c r="A395" s="45"/>
    </row>
    <row r="396">
      <c r="A396" s="45"/>
    </row>
    <row r="397">
      <c r="A397" s="45"/>
    </row>
    <row r="398">
      <c r="A398" s="45"/>
    </row>
    <row r="399">
      <c r="A399" s="45"/>
    </row>
    <row r="400">
      <c r="A400" s="45"/>
    </row>
    <row r="401">
      <c r="A401" s="45"/>
    </row>
    <row r="402">
      <c r="A402" s="45"/>
    </row>
    <row r="403">
      <c r="A403" s="45"/>
    </row>
    <row r="404">
      <c r="A404" s="45"/>
    </row>
    <row r="405">
      <c r="A405" s="45"/>
    </row>
    <row r="406">
      <c r="A406" s="45"/>
    </row>
    <row r="407">
      <c r="A407" s="45"/>
    </row>
    <row r="408">
      <c r="A408" s="45"/>
    </row>
    <row r="409">
      <c r="A409" s="45"/>
    </row>
    <row r="410">
      <c r="A410" s="45"/>
    </row>
    <row r="411">
      <c r="A411" s="45"/>
    </row>
    <row r="412">
      <c r="A412" s="45"/>
    </row>
    <row r="413">
      <c r="A413" s="45"/>
    </row>
    <row r="414">
      <c r="A414" s="45"/>
    </row>
    <row r="415">
      <c r="A415" s="45"/>
    </row>
    <row r="416">
      <c r="A416" s="45"/>
    </row>
    <row r="417">
      <c r="A417" s="45"/>
    </row>
    <row r="418">
      <c r="A418" s="45"/>
    </row>
    <row r="419">
      <c r="A419" s="45"/>
    </row>
    <row r="420">
      <c r="A420" s="45"/>
    </row>
    <row r="421">
      <c r="A421" s="45"/>
    </row>
    <row r="422">
      <c r="A422" s="45"/>
    </row>
    <row r="423">
      <c r="A423" s="45"/>
    </row>
    <row r="424">
      <c r="A424" s="45"/>
    </row>
    <row r="425">
      <c r="A425" s="45"/>
    </row>
    <row r="426">
      <c r="A426" s="45"/>
    </row>
    <row r="427">
      <c r="A427" s="45"/>
    </row>
    <row r="428">
      <c r="A428" s="45"/>
    </row>
    <row r="429">
      <c r="A429" s="45"/>
    </row>
    <row r="430">
      <c r="A430" s="45"/>
    </row>
    <row r="431">
      <c r="A431" s="45"/>
    </row>
    <row r="432">
      <c r="A432" s="45"/>
    </row>
    <row r="433">
      <c r="A433" s="45"/>
    </row>
    <row r="434">
      <c r="A434" s="45"/>
    </row>
    <row r="435">
      <c r="A435" s="45"/>
    </row>
    <row r="436">
      <c r="A436" s="45"/>
    </row>
    <row r="437">
      <c r="A437" s="45"/>
    </row>
    <row r="438">
      <c r="A438" s="45"/>
    </row>
    <row r="439">
      <c r="A439" s="45"/>
    </row>
    <row r="440">
      <c r="A440" s="45"/>
    </row>
    <row r="441">
      <c r="A441" s="45"/>
    </row>
    <row r="442">
      <c r="A442" s="45"/>
    </row>
    <row r="443">
      <c r="A443" s="45"/>
    </row>
    <row r="444">
      <c r="A444" s="45"/>
    </row>
    <row r="445">
      <c r="A445" s="45"/>
    </row>
    <row r="446">
      <c r="A446" s="45"/>
    </row>
    <row r="447">
      <c r="A447" s="45"/>
    </row>
    <row r="448">
      <c r="A448" s="45"/>
    </row>
    <row r="449">
      <c r="A449" s="45"/>
    </row>
    <row r="450">
      <c r="A450" s="45"/>
    </row>
    <row r="451">
      <c r="A451" s="45"/>
    </row>
    <row r="452">
      <c r="A452" s="45"/>
    </row>
    <row r="453">
      <c r="A453" s="45"/>
    </row>
    <row r="454">
      <c r="A454" s="45"/>
    </row>
    <row r="455">
      <c r="A455" s="45"/>
    </row>
    <row r="456">
      <c r="A456" s="45"/>
    </row>
    <row r="457">
      <c r="A457" s="45"/>
    </row>
    <row r="458">
      <c r="A458" s="45"/>
    </row>
    <row r="459">
      <c r="A459" s="45"/>
    </row>
    <row r="460">
      <c r="A460" s="45"/>
    </row>
    <row r="461">
      <c r="A461" s="45"/>
    </row>
    <row r="462">
      <c r="A462" s="45"/>
    </row>
    <row r="463">
      <c r="A463" s="45"/>
    </row>
    <row r="464">
      <c r="A464" s="45"/>
    </row>
    <row r="465">
      <c r="A465" s="45"/>
    </row>
    <row r="466">
      <c r="A466" s="45"/>
    </row>
    <row r="467">
      <c r="A467" s="45"/>
    </row>
    <row r="468">
      <c r="A468" s="45"/>
    </row>
    <row r="469">
      <c r="A469" s="45"/>
    </row>
    <row r="470">
      <c r="A470" s="45"/>
    </row>
    <row r="471">
      <c r="A471" s="45"/>
    </row>
    <row r="472">
      <c r="A472" s="45"/>
    </row>
    <row r="473">
      <c r="A473" s="45"/>
    </row>
    <row r="474">
      <c r="A474" s="45"/>
    </row>
    <row r="475">
      <c r="A475" s="45"/>
    </row>
    <row r="476">
      <c r="A476" s="45"/>
    </row>
    <row r="477">
      <c r="A477" s="45"/>
    </row>
    <row r="478">
      <c r="A478" s="45"/>
    </row>
    <row r="479">
      <c r="A479" s="45"/>
    </row>
    <row r="480">
      <c r="A480" s="45"/>
    </row>
    <row r="481">
      <c r="A481" s="45"/>
    </row>
    <row r="482">
      <c r="A482" s="45"/>
    </row>
    <row r="483">
      <c r="A483" s="45"/>
    </row>
    <row r="484">
      <c r="A484" s="45"/>
    </row>
    <row r="485">
      <c r="A485" s="45"/>
    </row>
    <row r="486">
      <c r="A486" s="45"/>
    </row>
    <row r="487">
      <c r="A487" s="45"/>
    </row>
    <row r="488">
      <c r="A488" s="45"/>
    </row>
    <row r="489">
      <c r="A489" s="45"/>
    </row>
    <row r="490">
      <c r="A490" s="45"/>
    </row>
    <row r="491">
      <c r="A491" s="45"/>
    </row>
    <row r="492">
      <c r="A492" s="45"/>
    </row>
    <row r="493">
      <c r="A493" s="45"/>
    </row>
    <row r="494">
      <c r="A494" s="45"/>
    </row>
    <row r="495">
      <c r="A495" s="45"/>
    </row>
    <row r="496">
      <c r="A496" s="45"/>
    </row>
    <row r="497">
      <c r="A497" s="45"/>
    </row>
    <row r="498">
      <c r="A498" s="45"/>
    </row>
    <row r="499">
      <c r="A499" s="45"/>
    </row>
    <row r="500">
      <c r="A500" s="45"/>
    </row>
    <row r="501">
      <c r="A501" s="45"/>
    </row>
    <row r="502">
      <c r="A502" s="45"/>
    </row>
    <row r="503">
      <c r="A503" s="45"/>
    </row>
    <row r="504">
      <c r="A504" s="45"/>
    </row>
    <row r="505">
      <c r="A505" s="45"/>
    </row>
    <row r="506">
      <c r="A506" s="45"/>
    </row>
    <row r="507">
      <c r="A507" s="45"/>
    </row>
    <row r="508">
      <c r="A508" s="45"/>
    </row>
    <row r="509">
      <c r="A509" s="45"/>
    </row>
    <row r="510">
      <c r="A510" s="45"/>
    </row>
    <row r="511">
      <c r="A511" s="45"/>
    </row>
    <row r="512">
      <c r="A512" s="45"/>
    </row>
    <row r="513">
      <c r="A513" s="45"/>
    </row>
    <row r="514">
      <c r="A514" s="45"/>
    </row>
    <row r="515">
      <c r="A515" s="45"/>
    </row>
    <row r="516">
      <c r="A516" s="45"/>
    </row>
    <row r="517">
      <c r="A517" s="45"/>
    </row>
    <row r="518">
      <c r="A518" s="45"/>
    </row>
    <row r="519">
      <c r="A519" s="45"/>
    </row>
    <row r="520">
      <c r="A520" s="45"/>
    </row>
    <row r="521">
      <c r="A521" s="45"/>
    </row>
    <row r="522">
      <c r="A522" s="45"/>
    </row>
    <row r="523">
      <c r="A523" s="45"/>
    </row>
    <row r="524">
      <c r="A524" s="45"/>
    </row>
    <row r="525">
      <c r="A525" s="45"/>
    </row>
    <row r="526">
      <c r="A526" s="45"/>
    </row>
    <row r="527">
      <c r="A527" s="45"/>
    </row>
    <row r="528">
      <c r="A528" s="45"/>
    </row>
    <row r="529">
      <c r="A529" s="45"/>
    </row>
    <row r="530">
      <c r="A530" s="45"/>
    </row>
    <row r="531">
      <c r="A531" s="45"/>
    </row>
    <row r="532">
      <c r="A532" s="45"/>
    </row>
    <row r="533">
      <c r="A533" s="45"/>
    </row>
    <row r="534">
      <c r="A534" s="45"/>
    </row>
    <row r="535">
      <c r="A535" s="45"/>
    </row>
    <row r="536">
      <c r="A536" s="45"/>
    </row>
    <row r="537">
      <c r="A537" s="45"/>
    </row>
    <row r="538">
      <c r="A538" s="45"/>
    </row>
    <row r="539">
      <c r="A539" s="45"/>
    </row>
    <row r="540">
      <c r="A540" s="45"/>
    </row>
    <row r="541">
      <c r="A541" s="45"/>
    </row>
    <row r="542">
      <c r="A542" s="45"/>
    </row>
    <row r="543">
      <c r="A543" s="45"/>
    </row>
    <row r="544">
      <c r="A544" s="45"/>
    </row>
    <row r="545">
      <c r="A545" s="45"/>
    </row>
    <row r="546">
      <c r="A546" s="45"/>
    </row>
    <row r="547">
      <c r="A547" s="45"/>
    </row>
    <row r="548">
      <c r="A548" s="45"/>
    </row>
    <row r="549">
      <c r="A549" s="45"/>
    </row>
    <row r="550">
      <c r="A550" s="45"/>
    </row>
    <row r="551">
      <c r="A551" s="45"/>
    </row>
    <row r="552">
      <c r="A552" s="45"/>
    </row>
    <row r="553">
      <c r="A553" s="45"/>
    </row>
    <row r="554">
      <c r="A554" s="45"/>
    </row>
    <row r="555">
      <c r="A555" s="45"/>
    </row>
    <row r="556">
      <c r="A556" s="45"/>
    </row>
    <row r="557">
      <c r="A557" s="45"/>
    </row>
    <row r="558">
      <c r="A558" s="45"/>
    </row>
    <row r="559">
      <c r="A559" s="45"/>
    </row>
    <row r="560">
      <c r="A560" s="45"/>
    </row>
    <row r="561">
      <c r="A561" s="45"/>
    </row>
    <row r="562">
      <c r="A562" s="45"/>
    </row>
    <row r="563">
      <c r="A563" s="45"/>
    </row>
    <row r="564">
      <c r="A564" s="45"/>
    </row>
    <row r="565">
      <c r="A565" s="45"/>
    </row>
    <row r="566">
      <c r="A566" s="45"/>
    </row>
    <row r="567">
      <c r="A567" s="45"/>
    </row>
    <row r="568">
      <c r="A568" s="45"/>
    </row>
    <row r="569">
      <c r="A569" s="45"/>
    </row>
    <row r="570">
      <c r="A570" s="45"/>
    </row>
    <row r="571">
      <c r="A571" s="45"/>
    </row>
    <row r="572">
      <c r="A572" s="45"/>
    </row>
    <row r="573">
      <c r="A573" s="45"/>
    </row>
    <row r="574">
      <c r="A574" s="45"/>
    </row>
    <row r="575">
      <c r="A575" s="45"/>
    </row>
    <row r="576">
      <c r="A576" s="45"/>
    </row>
    <row r="577">
      <c r="A577" s="45"/>
    </row>
    <row r="578">
      <c r="A578" s="45"/>
    </row>
    <row r="579">
      <c r="A579" s="45"/>
    </row>
    <row r="580">
      <c r="A580" s="45"/>
    </row>
    <row r="581">
      <c r="A581" s="45"/>
    </row>
    <row r="582">
      <c r="A582" s="45"/>
    </row>
    <row r="583">
      <c r="A583" s="45"/>
    </row>
    <row r="584">
      <c r="A584" s="45"/>
    </row>
    <row r="585">
      <c r="A585" s="45"/>
    </row>
    <row r="586">
      <c r="A586" s="45"/>
    </row>
    <row r="587">
      <c r="A587" s="45"/>
    </row>
    <row r="588">
      <c r="A588" s="45"/>
    </row>
    <row r="589">
      <c r="A589" s="45"/>
    </row>
    <row r="590">
      <c r="A590" s="45"/>
    </row>
    <row r="591">
      <c r="A591" s="45"/>
    </row>
    <row r="592">
      <c r="A592" s="45"/>
    </row>
    <row r="593">
      <c r="A593" s="45"/>
    </row>
    <row r="594">
      <c r="A594" s="45"/>
    </row>
    <row r="595">
      <c r="A595" s="45"/>
    </row>
    <row r="596">
      <c r="A596" s="45"/>
    </row>
    <row r="597">
      <c r="A597" s="45"/>
    </row>
    <row r="598">
      <c r="A598" s="45"/>
    </row>
    <row r="599">
      <c r="A599" s="45"/>
    </row>
    <row r="600">
      <c r="A600" s="45"/>
    </row>
    <row r="601">
      <c r="A601" s="45"/>
    </row>
    <row r="602">
      <c r="A602" s="45"/>
    </row>
    <row r="603">
      <c r="A603" s="45"/>
    </row>
    <row r="604">
      <c r="A604" s="45"/>
    </row>
    <row r="605">
      <c r="A605" s="45"/>
    </row>
    <row r="606">
      <c r="A606" s="45"/>
    </row>
    <row r="607">
      <c r="A607" s="45"/>
    </row>
    <row r="608">
      <c r="A608" s="45"/>
    </row>
    <row r="609">
      <c r="A609" s="45"/>
    </row>
    <row r="610">
      <c r="A610" s="45"/>
    </row>
    <row r="611">
      <c r="A611" s="45"/>
    </row>
    <row r="612">
      <c r="A612" s="45"/>
    </row>
    <row r="613">
      <c r="A613" s="45"/>
    </row>
    <row r="614">
      <c r="A614" s="45"/>
    </row>
    <row r="615">
      <c r="A615" s="45"/>
    </row>
    <row r="616">
      <c r="A616" s="45"/>
    </row>
    <row r="617">
      <c r="A617" s="45"/>
    </row>
    <row r="618">
      <c r="A618" s="45"/>
    </row>
    <row r="619">
      <c r="A619" s="45"/>
    </row>
    <row r="620">
      <c r="A620" s="45"/>
    </row>
    <row r="621">
      <c r="A621" s="45"/>
    </row>
    <row r="622">
      <c r="A622" s="45"/>
    </row>
    <row r="623">
      <c r="A623" s="45"/>
    </row>
    <row r="624">
      <c r="A624" s="45"/>
    </row>
    <row r="625">
      <c r="A625" s="45"/>
    </row>
    <row r="626">
      <c r="A626" s="45"/>
    </row>
    <row r="627">
      <c r="A627" s="45"/>
    </row>
    <row r="628">
      <c r="A628" s="45"/>
    </row>
    <row r="629">
      <c r="A629" s="45"/>
    </row>
    <row r="630">
      <c r="A630" s="45"/>
    </row>
    <row r="631">
      <c r="A631" s="45"/>
    </row>
    <row r="632">
      <c r="A632" s="45"/>
    </row>
    <row r="633">
      <c r="A633" s="45"/>
    </row>
    <row r="634">
      <c r="A634" s="45"/>
    </row>
    <row r="635">
      <c r="A635" s="45"/>
    </row>
    <row r="636">
      <c r="A636" s="45"/>
    </row>
    <row r="637">
      <c r="A637" s="45"/>
    </row>
    <row r="638">
      <c r="A638" s="45"/>
    </row>
    <row r="639">
      <c r="A639" s="45"/>
    </row>
    <row r="640">
      <c r="A640" s="45"/>
    </row>
    <row r="641">
      <c r="A641" s="45"/>
    </row>
    <row r="642">
      <c r="A642" s="45"/>
    </row>
    <row r="643">
      <c r="A643" s="45"/>
    </row>
    <row r="644">
      <c r="A644" s="45"/>
    </row>
    <row r="645">
      <c r="A645" s="45"/>
    </row>
    <row r="646">
      <c r="A646" s="45"/>
    </row>
    <row r="647">
      <c r="A647" s="45"/>
    </row>
    <row r="648">
      <c r="A648" s="45"/>
    </row>
    <row r="649">
      <c r="A649" s="45"/>
    </row>
    <row r="650">
      <c r="A650" s="45"/>
    </row>
    <row r="651">
      <c r="A651" s="45"/>
    </row>
    <row r="652">
      <c r="A652" s="45"/>
    </row>
    <row r="653">
      <c r="A653" s="45"/>
    </row>
    <row r="654">
      <c r="A654" s="45"/>
    </row>
    <row r="655">
      <c r="A655" s="45"/>
    </row>
    <row r="656">
      <c r="A656" s="45"/>
    </row>
    <row r="657">
      <c r="A657" s="45"/>
    </row>
    <row r="658">
      <c r="A658" s="45"/>
    </row>
    <row r="659">
      <c r="A659" s="45"/>
    </row>
    <row r="660">
      <c r="A660" s="45"/>
    </row>
    <row r="661">
      <c r="A661" s="45"/>
    </row>
    <row r="662">
      <c r="A662" s="45"/>
    </row>
    <row r="663">
      <c r="A663" s="45"/>
    </row>
    <row r="664">
      <c r="A664" s="45"/>
    </row>
    <row r="665">
      <c r="A665" s="45"/>
    </row>
    <row r="666">
      <c r="A666" s="45"/>
    </row>
    <row r="667">
      <c r="A667" s="45"/>
    </row>
    <row r="668">
      <c r="A668" s="45"/>
    </row>
    <row r="669">
      <c r="A669" s="45"/>
    </row>
    <row r="670">
      <c r="A670" s="45"/>
    </row>
    <row r="671">
      <c r="A671" s="45"/>
    </row>
    <row r="672">
      <c r="A672" s="45"/>
    </row>
    <row r="673">
      <c r="A673" s="45"/>
    </row>
    <row r="674">
      <c r="A674" s="45"/>
    </row>
    <row r="675">
      <c r="A675" s="45"/>
    </row>
    <row r="676">
      <c r="A676" s="45"/>
    </row>
    <row r="677">
      <c r="A677" s="45"/>
    </row>
    <row r="678">
      <c r="A678" s="45"/>
    </row>
    <row r="679">
      <c r="A679" s="45"/>
    </row>
    <row r="680">
      <c r="A680" s="45"/>
    </row>
    <row r="681">
      <c r="A681" s="45"/>
    </row>
    <row r="682">
      <c r="A682" s="45"/>
    </row>
    <row r="683">
      <c r="A683" s="45"/>
    </row>
    <row r="684">
      <c r="A684" s="45"/>
    </row>
    <row r="685">
      <c r="A685" s="45"/>
    </row>
    <row r="686">
      <c r="A686" s="45"/>
    </row>
    <row r="687">
      <c r="A687" s="45"/>
    </row>
    <row r="688">
      <c r="A688" s="45"/>
    </row>
    <row r="689">
      <c r="A689" s="45"/>
    </row>
    <row r="690">
      <c r="A690" s="45"/>
    </row>
    <row r="691">
      <c r="A691" s="45"/>
    </row>
    <row r="692">
      <c r="A692" s="45"/>
    </row>
    <row r="693">
      <c r="A693" s="45"/>
    </row>
    <row r="694">
      <c r="A694" s="45"/>
    </row>
    <row r="695">
      <c r="A695" s="45"/>
    </row>
    <row r="696">
      <c r="A696" s="45"/>
    </row>
    <row r="697">
      <c r="A697" s="45"/>
    </row>
    <row r="698">
      <c r="A698" s="45"/>
    </row>
    <row r="699">
      <c r="A699" s="45"/>
    </row>
    <row r="700">
      <c r="A700" s="45"/>
    </row>
    <row r="701">
      <c r="A701" s="45"/>
    </row>
    <row r="702">
      <c r="A702" s="45"/>
    </row>
    <row r="703">
      <c r="A703" s="45"/>
    </row>
    <row r="704">
      <c r="A704" s="45"/>
    </row>
    <row r="705">
      <c r="A705" s="45"/>
    </row>
    <row r="706">
      <c r="A706" s="45"/>
    </row>
    <row r="707">
      <c r="A707" s="45"/>
    </row>
    <row r="708">
      <c r="A708" s="45"/>
    </row>
    <row r="709">
      <c r="A709" s="45"/>
    </row>
    <row r="710">
      <c r="A710" s="45"/>
    </row>
    <row r="711">
      <c r="A711" s="45"/>
    </row>
    <row r="712">
      <c r="A712" s="45"/>
    </row>
    <row r="713">
      <c r="A713" s="45"/>
    </row>
    <row r="714">
      <c r="A714" s="45"/>
    </row>
    <row r="715">
      <c r="A715" s="45"/>
    </row>
    <row r="716">
      <c r="A716" s="45"/>
    </row>
    <row r="717">
      <c r="A717" s="45"/>
    </row>
    <row r="718">
      <c r="A718" s="45"/>
    </row>
    <row r="719">
      <c r="A719" s="45"/>
    </row>
    <row r="720">
      <c r="A720" s="45"/>
    </row>
    <row r="721">
      <c r="A721" s="45"/>
    </row>
    <row r="722">
      <c r="A722" s="45"/>
    </row>
    <row r="723">
      <c r="A723" s="45"/>
    </row>
    <row r="724">
      <c r="A724" s="45"/>
    </row>
    <row r="725">
      <c r="A725" s="45"/>
    </row>
    <row r="726">
      <c r="A726" s="45"/>
    </row>
    <row r="727">
      <c r="A727" s="45"/>
    </row>
    <row r="728">
      <c r="A728" s="45"/>
    </row>
    <row r="729">
      <c r="A729" s="45"/>
    </row>
    <row r="730">
      <c r="A730" s="45"/>
    </row>
    <row r="731">
      <c r="A731" s="45"/>
    </row>
    <row r="732">
      <c r="A732" s="45"/>
    </row>
    <row r="733">
      <c r="A733" s="45"/>
    </row>
    <row r="734">
      <c r="A734" s="45"/>
    </row>
    <row r="735">
      <c r="A735" s="45"/>
    </row>
    <row r="736">
      <c r="A736" s="45"/>
    </row>
    <row r="737">
      <c r="A737" s="45"/>
    </row>
    <row r="738">
      <c r="A738" s="45"/>
    </row>
    <row r="739">
      <c r="A739" s="45"/>
    </row>
    <row r="740">
      <c r="A740" s="45"/>
    </row>
    <row r="741">
      <c r="A741" s="45"/>
    </row>
    <row r="742">
      <c r="A742" s="45"/>
    </row>
    <row r="743">
      <c r="A743" s="45"/>
    </row>
    <row r="744">
      <c r="A744" s="45"/>
    </row>
    <row r="745">
      <c r="A745" s="45"/>
    </row>
    <row r="746">
      <c r="A746" s="45"/>
    </row>
    <row r="747">
      <c r="A747" s="45"/>
    </row>
    <row r="748">
      <c r="A748" s="45"/>
    </row>
    <row r="749">
      <c r="A749" s="45"/>
    </row>
    <row r="750">
      <c r="A750" s="45"/>
    </row>
    <row r="751">
      <c r="A751" s="45"/>
    </row>
    <row r="752">
      <c r="A752" s="45"/>
    </row>
    <row r="753">
      <c r="A753" s="45"/>
    </row>
    <row r="754">
      <c r="A754" s="45"/>
    </row>
    <row r="755">
      <c r="A755" s="45"/>
    </row>
    <row r="756">
      <c r="A756" s="45"/>
    </row>
    <row r="757">
      <c r="A757" s="45"/>
    </row>
    <row r="758">
      <c r="A758" s="45"/>
    </row>
    <row r="759">
      <c r="A759" s="45"/>
    </row>
    <row r="760">
      <c r="A760" s="45"/>
    </row>
    <row r="761">
      <c r="A761" s="45"/>
    </row>
    <row r="762">
      <c r="A762" s="45"/>
    </row>
    <row r="763">
      <c r="A763" s="45"/>
    </row>
    <row r="764">
      <c r="A764" s="45"/>
    </row>
    <row r="765">
      <c r="A765" s="45"/>
    </row>
    <row r="766">
      <c r="A766" s="45"/>
    </row>
    <row r="767">
      <c r="A767" s="45"/>
    </row>
    <row r="768">
      <c r="A768" s="45"/>
    </row>
    <row r="769">
      <c r="A769" s="45"/>
    </row>
    <row r="770">
      <c r="A770" s="45"/>
    </row>
    <row r="771">
      <c r="A771" s="45"/>
    </row>
    <row r="772">
      <c r="A772" s="45"/>
    </row>
    <row r="773">
      <c r="A773" s="45"/>
    </row>
    <row r="774">
      <c r="A774" s="45"/>
    </row>
    <row r="775">
      <c r="A775" s="45"/>
    </row>
    <row r="776">
      <c r="A776" s="45"/>
    </row>
    <row r="777">
      <c r="A777" s="45"/>
    </row>
    <row r="778">
      <c r="A778" s="45"/>
    </row>
    <row r="779">
      <c r="A779" s="45"/>
    </row>
    <row r="780">
      <c r="A780" s="45"/>
    </row>
    <row r="781">
      <c r="A781" s="45"/>
    </row>
    <row r="782">
      <c r="A782" s="45"/>
    </row>
    <row r="783">
      <c r="A783" s="45"/>
    </row>
    <row r="784">
      <c r="A784" s="45"/>
    </row>
    <row r="785">
      <c r="A785" s="45"/>
    </row>
    <row r="786">
      <c r="A786" s="45"/>
    </row>
    <row r="787">
      <c r="A787" s="45"/>
    </row>
    <row r="788">
      <c r="A788" s="45"/>
    </row>
    <row r="789">
      <c r="A789" s="45"/>
    </row>
    <row r="790">
      <c r="A790" s="45"/>
    </row>
    <row r="791">
      <c r="A791" s="45"/>
    </row>
    <row r="792">
      <c r="A792" s="45"/>
    </row>
    <row r="793">
      <c r="A793" s="45"/>
    </row>
    <row r="794">
      <c r="A794" s="45"/>
    </row>
    <row r="795">
      <c r="A795" s="45"/>
    </row>
    <row r="796">
      <c r="A796" s="45"/>
    </row>
    <row r="797">
      <c r="A797" s="45"/>
    </row>
    <row r="798">
      <c r="A798" s="45"/>
    </row>
    <row r="799">
      <c r="A799" s="45"/>
    </row>
    <row r="800">
      <c r="A800" s="45"/>
    </row>
    <row r="801">
      <c r="A801" s="45"/>
    </row>
    <row r="802">
      <c r="A802" s="45"/>
    </row>
    <row r="803">
      <c r="A803" s="45"/>
    </row>
    <row r="804">
      <c r="A804" s="45"/>
    </row>
    <row r="805">
      <c r="A805" s="45"/>
    </row>
    <row r="806">
      <c r="A806" s="45"/>
    </row>
    <row r="807">
      <c r="A807" s="45"/>
    </row>
    <row r="808">
      <c r="A808" s="45"/>
    </row>
    <row r="809">
      <c r="A809" s="45"/>
    </row>
    <row r="810">
      <c r="A810" s="45"/>
    </row>
    <row r="811">
      <c r="A811" s="45"/>
    </row>
    <row r="812">
      <c r="A812" s="45"/>
    </row>
    <row r="813">
      <c r="A813" s="45"/>
    </row>
    <row r="814">
      <c r="A814" s="45"/>
    </row>
    <row r="815">
      <c r="A815" s="45"/>
    </row>
    <row r="816">
      <c r="A816" s="45"/>
    </row>
    <row r="817">
      <c r="A817" s="45"/>
    </row>
    <row r="818">
      <c r="A818" s="45"/>
    </row>
    <row r="819">
      <c r="A819" s="45"/>
    </row>
    <row r="820">
      <c r="A820" s="45"/>
    </row>
    <row r="821">
      <c r="A821" s="45"/>
    </row>
    <row r="822">
      <c r="A822" s="45"/>
    </row>
    <row r="823">
      <c r="A823" s="45"/>
    </row>
    <row r="824">
      <c r="A824" s="45"/>
    </row>
    <row r="825">
      <c r="A825" s="45"/>
    </row>
    <row r="826">
      <c r="A826" s="45"/>
    </row>
    <row r="827">
      <c r="A827" s="45"/>
    </row>
    <row r="828">
      <c r="A828" s="45"/>
    </row>
    <row r="829">
      <c r="A829" s="45"/>
    </row>
    <row r="830">
      <c r="A830" s="45"/>
    </row>
    <row r="831">
      <c r="A831" s="45"/>
    </row>
    <row r="832">
      <c r="A832" s="45"/>
    </row>
    <row r="833">
      <c r="A833" s="45"/>
    </row>
    <row r="834">
      <c r="A834" s="45"/>
    </row>
    <row r="835">
      <c r="A835" s="45"/>
    </row>
    <row r="836">
      <c r="A836" s="45"/>
    </row>
    <row r="837">
      <c r="A837" s="45"/>
    </row>
    <row r="838">
      <c r="A838" s="45"/>
    </row>
    <row r="839">
      <c r="A839" s="45"/>
    </row>
    <row r="840">
      <c r="A840" s="45"/>
    </row>
    <row r="841">
      <c r="A841" s="45"/>
    </row>
    <row r="842">
      <c r="A842" s="45"/>
    </row>
    <row r="843">
      <c r="A843" s="45"/>
    </row>
    <row r="844">
      <c r="A844" s="45"/>
    </row>
    <row r="845">
      <c r="A845" s="45"/>
    </row>
    <row r="846">
      <c r="A846" s="45"/>
    </row>
    <row r="847">
      <c r="A847" s="45"/>
    </row>
    <row r="848">
      <c r="A848" s="45"/>
    </row>
    <row r="849">
      <c r="A849" s="45"/>
    </row>
    <row r="850">
      <c r="A850" s="45"/>
    </row>
    <row r="851">
      <c r="A851" s="45"/>
    </row>
    <row r="852">
      <c r="A852" s="45"/>
    </row>
    <row r="853">
      <c r="A853" s="45"/>
    </row>
    <row r="854">
      <c r="A854" s="45"/>
    </row>
    <row r="855">
      <c r="A855" s="45"/>
    </row>
    <row r="856">
      <c r="A856" s="45"/>
    </row>
    <row r="857">
      <c r="A857" s="45"/>
    </row>
    <row r="858">
      <c r="A858" s="45"/>
    </row>
    <row r="859">
      <c r="A859" s="45"/>
    </row>
    <row r="860">
      <c r="A860" s="45"/>
    </row>
    <row r="861">
      <c r="A861" s="45"/>
    </row>
    <row r="862">
      <c r="A862" s="45"/>
    </row>
    <row r="863">
      <c r="A863" s="45"/>
    </row>
    <row r="864">
      <c r="A864" s="45"/>
    </row>
    <row r="865">
      <c r="A865" s="45"/>
    </row>
    <row r="866">
      <c r="A866" s="45"/>
    </row>
    <row r="867">
      <c r="A867" s="45"/>
    </row>
    <row r="868">
      <c r="A868" s="45"/>
    </row>
    <row r="869">
      <c r="A869" s="45"/>
    </row>
    <row r="870">
      <c r="A870" s="45"/>
    </row>
    <row r="871">
      <c r="A871" s="45"/>
    </row>
    <row r="872">
      <c r="A872" s="45"/>
    </row>
    <row r="873">
      <c r="A873" s="45"/>
    </row>
    <row r="874">
      <c r="A874" s="45"/>
    </row>
    <row r="875">
      <c r="A875" s="45"/>
    </row>
    <row r="876">
      <c r="A876" s="45"/>
    </row>
    <row r="877">
      <c r="A877" s="45"/>
    </row>
    <row r="878">
      <c r="A878" s="45"/>
    </row>
    <row r="879">
      <c r="A879" s="45"/>
    </row>
    <row r="880">
      <c r="A880" s="45"/>
    </row>
    <row r="881">
      <c r="A881" s="45"/>
    </row>
    <row r="882">
      <c r="A882" s="45"/>
    </row>
    <row r="883">
      <c r="A883" s="45"/>
    </row>
    <row r="884">
      <c r="A884" s="45"/>
    </row>
    <row r="885">
      <c r="A885" s="45"/>
    </row>
    <row r="886">
      <c r="A886" s="45"/>
    </row>
    <row r="887">
      <c r="A887" s="45"/>
    </row>
    <row r="888">
      <c r="A888" s="45"/>
    </row>
    <row r="889">
      <c r="A889" s="45"/>
    </row>
    <row r="890">
      <c r="A890" s="45"/>
    </row>
    <row r="891">
      <c r="A891" s="45"/>
    </row>
    <row r="892">
      <c r="A892" s="45"/>
    </row>
    <row r="893">
      <c r="A893" s="45"/>
    </row>
    <row r="894">
      <c r="A894" s="45"/>
    </row>
    <row r="895">
      <c r="A895" s="45"/>
    </row>
    <row r="896">
      <c r="A896" s="45"/>
    </row>
    <row r="897">
      <c r="A897" s="45"/>
    </row>
    <row r="898">
      <c r="A898" s="45"/>
    </row>
    <row r="899">
      <c r="A899" s="45"/>
    </row>
    <row r="900">
      <c r="A900" s="45"/>
    </row>
    <row r="901">
      <c r="A901" s="45"/>
    </row>
    <row r="902">
      <c r="A902" s="45"/>
    </row>
    <row r="903">
      <c r="A903" s="45"/>
    </row>
    <row r="904">
      <c r="A904" s="45"/>
    </row>
    <row r="905">
      <c r="A905" s="45"/>
    </row>
    <row r="906">
      <c r="A906" s="45"/>
    </row>
    <row r="907">
      <c r="A907" s="45"/>
    </row>
    <row r="908">
      <c r="A908" s="45"/>
    </row>
    <row r="909">
      <c r="A909" s="45"/>
    </row>
    <row r="910">
      <c r="A910" s="45"/>
    </row>
    <row r="911">
      <c r="A911" s="45"/>
    </row>
    <row r="912">
      <c r="A912" s="45"/>
    </row>
    <row r="913">
      <c r="A913" s="45"/>
    </row>
    <row r="914">
      <c r="A914" s="45"/>
    </row>
    <row r="915">
      <c r="A915" s="45"/>
    </row>
    <row r="916">
      <c r="A916" s="45"/>
    </row>
    <row r="917">
      <c r="A917" s="45"/>
    </row>
    <row r="918">
      <c r="A918" s="45"/>
    </row>
    <row r="919">
      <c r="A919" s="45"/>
    </row>
    <row r="920">
      <c r="A920" s="45"/>
    </row>
    <row r="921">
      <c r="A921" s="45"/>
    </row>
    <row r="922">
      <c r="A922" s="45"/>
    </row>
    <row r="923">
      <c r="A923" s="45"/>
    </row>
    <row r="924">
      <c r="A924" s="45"/>
    </row>
    <row r="925">
      <c r="A925" s="45"/>
    </row>
    <row r="926">
      <c r="A926" s="45"/>
    </row>
    <row r="927">
      <c r="A927" s="45"/>
    </row>
    <row r="928">
      <c r="A928" s="45"/>
    </row>
    <row r="929">
      <c r="A929" s="45"/>
    </row>
    <row r="930">
      <c r="A930" s="45"/>
    </row>
    <row r="931">
      <c r="A931" s="45"/>
    </row>
    <row r="932">
      <c r="A932" s="45"/>
    </row>
    <row r="933">
      <c r="A933" s="45"/>
    </row>
    <row r="934">
      <c r="A934" s="45"/>
    </row>
    <row r="935">
      <c r="A935" s="45"/>
    </row>
    <row r="936">
      <c r="A936" s="45"/>
    </row>
    <row r="937">
      <c r="A937" s="45"/>
    </row>
    <row r="938">
      <c r="A938" s="45"/>
    </row>
    <row r="939">
      <c r="A939" s="45"/>
    </row>
    <row r="940">
      <c r="A940" s="45"/>
    </row>
    <row r="941">
      <c r="A941" s="45"/>
    </row>
    <row r="942">
      <c r="A942" s="45"/>
    </row>
    <row r="943">
      <c r="A943" s="45"/>
    </row>
    <row r="944">
      <c r="A944" s="45"/>
    </row>
    <row r="945">
      <c r="A945" s="45"/>
    </row>
    <row r="946">
      <c r="A946" s="45"/>
    </row>
    <row r="947">
      <c r="A947" s="45"/>
    </row>
    <row r="948">
      <c r="A948" s="45"/>
    </row>
    <row r="949">
      <c r="A949" s="45"/>
    </row>
    <row r="950">
      <c r="A950" s="45"/>
    </row>
    <row r="951">
      <c r="A951" s="45"/>
    </row>
    <row r="952">
      <c r="A952" s="45"/>
    </row>
    <row r="953">
      <c r="A953" s="45"/>
    </row>
    <row r="954">
      <c r="A954" s="45"/>
    </row>
    <row r="955">
      <c r="A955" s="45"/>
    </row>
    <row r="956">
      <c r="A956" s="45"/>
    </row>
    <row r="957">
      <c r="A957" s="45"/>
    </row>
    <row r="958">
      <c r="A958" s="45"/>
    </row>
    <row r="959">
      <c r="A959" s="45"/>
    </row>
    <row r="960">
      <c r="A960" s="45"/>
    </row>
    <row r="961">
      <c r="A961" s="45"/>
    </row>
    <row r="962">
      <c r="A962" s="45"/>
    </row>
    <row r="963">
      <c r="A963" s="45"/>
    </row>
    <row r="964">
      <c r="A964" s="45"/>
    </row>
    <row r="965">
      <c r="A965" s="45"/>
    </row>
    <row r="966">
      <c r="A966" s="45"/>
    </row>
    <row r="967">
      <c r="A967" s="45"/>
    </row>
    <row r="968">
      <c r="A968" s="45"/>
    </row>
    <row r="969">
      <c r="A969" s="45"/>
    </row>
    <row r="970">
      <c r="A970" s="45"/>
    </row>
    <row r="971">
      <c r="A971" s="45"/>
    </row>
    <row r="972">
      <c r="A972" s="45"/>
    </row>
    <row r="973">
      <c r="A973" s="45"/>
    </row>
    <row r="974">
      <c r="A974" s="45"/>
    </row>
    <row r="975">
      <c r="A975" s="45"/>
    </row>
    <row r="976">
      <c r="A976" s="45"/>
    </row>
    <row r="977">
      <c r="A977" s="45"/>
    </row>
    <row r="978">
      <c r="A978" s="45"/>
    </row>
    <row r="979">
      <c r="A979" s="45"/>
    </row>
    <row r="980">
      <c r="A980" s="45"/>
    </row>
    <row r="981">
      <c r="A981" s="45"/>
    </row>
    <row r="982">
      <c r="A982" s="45"/>
    </row>
    <row r="983">
      <c r="A983" s="45"/>
    </row>
    <row r="984">
      <c r="A984" s="45"/>
    </row>
    <row r="985">
      <c r="A985" s="45"/>
    </row>
    <row r="986">
      <c r="A986" s="45"/>
    </row>
    <row r="987">
      <c r="A987" s="45"/>
    </row>
    <row r="988">
      <c r="A988" s="45"/>
    </row>
    <row r="989">
      <c r="A989" s="45"/>
    </row>
    <row r="990">
      <c r="A990" s="45"/>
    </row>
  </sheetData>
  <mergeCells count="1">
    <mergeCell ref="A1:F1"/>
  </mergeCells>
  <conditionalFormatting sqref="D5">
    <cfRule type="expression" dxfId="0" priority="1">
      <formula>D3=TRUE</formula>
    </cfRule>
  </conditionalFormatting>
  <conditionalFormatting sqref="C5">
    <cfRule type="expression" dxfId="0" priority="2">
      <formula>C3=TRUE</formula>
    </cfRule>
  </conditionalFormatting>
  <conditionalFormatting sqref="B5">
    <cfRule type="expression" dxfId="0" priority="3">
      <formula>B3=TRUE</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 customWidth="1" min="2" max="2" width="36.38"/>
  </cols>
  <sheetData>
    <row r="1">
      <c r="A1" s="228" t="s">
        <v>478</v>
      </c>
      <c r="B1" s="229"/>
    </row>
    <row r="2">
      <c r="A2" s="230">
        <v>2017.0</v>
      </c>
      <c r="B2" s="229"/>
    </row>
    <row r="3">
      <c r="A3" s="228" t="s">
        <v>479</v>
      </c>
      <c r="B3" s="231">
        <v>1755.24</v>
      </c>
    </row>
    <row r="4">
      <c r="A4" s="228" t="s">
        <v>480</v>
      </c>
      <c r="B4" s="231">
        <v>1240.77</v>
      </c>
    </row>
    <row r="5">
      <c r="A5" s="228" t="s">
        <v>481</v>
      </c>
      <c r="B5" s="228">
        <v>30.26</v>
      </c>
    </row>
    <row r="6">
      <c r="A6" s="228" t="s">
        <v>482</v>
      </c>
      <c r="B6" s="231">
        <v>3026.28</v>
      </c>
    </row>
    <row r="7">
      <c r="A7" s="230">
        <v>2018.0</v>
      </c>
      <c r="B7" s="229"/>
    </row>
    <row r="8">
      <c r="A8" s="228" t="s">
        <v>479</v>
      </c>
      <c r="B8" s="231">
        <v>9738.73</v>
      </c>
    </row>
    <row r="9">
      <c r="A9" s="228" t="s">
        <v>480</v>
      </c>
      <c r="B9" s="231">
        <v>6884.27</v>
      </c>
    </row>
    <row r="10">
      <c r="A10" s="228" t="s">
        <v>481</v>
      </c>
      <c r="B10" s="228">
        <v>167.91</v>
      </c>
    </row>
    <row r="11">
      <c r="A11" s="228" t="s">
        <v>482</v>
      </c>
      <c r="B11" s="231">
        <v>16790.91</v>
      </c>
    </row>
    <row r="12">
      <c r="A12" s="230">
        <v>2019.0</v>
      </c>
      <c r="B12" s="229"/>
    </row>
    <row r="13">
      <c r="A13" s="228" t="s">
        <v>479</v>
      </c>
      <c r="B13" s="231">
        <v>14961.68</v>
      </c>
    </row>
    <row r="14">
      <c r="A14" s="228" t="s">
        <v>480</v>
      </c>
      <c r="B14" s="231">
        <v>10576.36</v>
      </c>
    </row>
    <row r="15">
      <c r="A15" s="228" t="s">
        <v>481</v>
      </c>
      <c r="B15" s="228">
        <v>257.96</v>
      </c>
    </row>
    <row r="16">
      <c r="A16" s="228" t="s">
        <v>482</v>
      </c>
      <c r="B16" s="231">
        <v>25796.0</v>
      </c>
    </row>
    <row r="17">
      <c r="A17" s="230">
        <v>2020.0</v>
      </c>
      <c r="B17" s="229"/>
    </row>
    <row r="18">
      <c r="A18" s="228" t="s">
        <v>479</v>
      </c>
      <c r="B18" s="228">
        <v>475.54</v>
      </c>
    </row>
    <row r="19">
      <c r="A19" s="228" t="s">
        <v>480</v>
      </c>
      <c r="B19" s="228">
        <v>336.16</v>
      </c>
    </row>
    <row r="20">
      <c r="A20" s="228" t="s">
        <v>481</v>
      </c>
      <c r="B20" s="228">
        <v>8.2</v>
      </c>
    </row>
    <row r="21">
      <c r="A21" s="228" t="s">
        <v>482</v>
      </c>
      <c r="B21" s="228">
        <v>819.9</v>
      </c>
    </row>
    <row r="22">
      <c r="A22" s="228" t="s">
        <v>483</v>
      </c>
      <c r="B22" s="231">
        <v>46433.09</v>
      </c>
    </row>
    <row r="23">
      <c r="A23" s="228" t="s">
        <v>484</v>
      </c>
      <c r="B23" s="231">
        <v>11608.27</v>
      </c>
    </row>
    <row r="24">
      <c r="A24" s="228" t="s">
        <v>485</v>
      </c>
      <c r="B24" s="232">
        <v>1600.0</v>
      </c>
    </row>
    <row r="25">
      <c r="A25" s="228" t="s">
        <v>486</v>
      </c>
      <c r="B25" s="233">
        <v>11232.0</v>
      </c>
    </row>
    <row r="26">
      <c r="A26" s="228" t="s">
        <v>487</v>
      </c>
      <c r="B26" s="228" t="s">
        <v>488</v>
      </c>
    </row>
    <row r="27">
      <c r="A27" s="228" t="s">
        <v>489</v>
      </c>
      <c r="B27" s="228" t="s">
        <v>488</v>
      </c>
    </row>
    <row r="28">
      <c r="A28" s="228" t="s">
        <v>490</v>
      </c>
      <c r="B28" s="228" t="s">
        <v>488</v>
      </c>
    </row>
    <row r="29">
      <c r="A29" s="228" t="s">
        <v>491</v>
      </c>
      <c r="B29" s="228" t="s">
        <v>488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48.88"/>
    <col customWidth="1" min="3" max="3" width="35.75"/>
    <col customWidth="1" min="4" max="4" width="14.75"/>
    <col customWidth="1" min="5" max="5" width="13.13"/>
  </cols>
  <sheetData>
    <row r="1">
      <c r="A1" s="228" t="s">
        <v>492</v>
      </c>
      <c r="B1" s="228" t="s">
        <v>493</v>
      </c>
      <c r="C1" s="228" t="s">
        <v>494</v>
      </c>
      <c r="D1" s="228" t="s">
        <v>495</v>
      </c>
      <c r="E1" s="228" t="s">
        <v>496</v>
      </c>
      <c r="F1" s="229"/>
      <c r="G1" s="229"/>
    </row>
    <row r="2">
      <c r="A2" s="228" t="s">
        <v>497</v>
      </c>
      <c r="B2" s="230">
        <v>446.0</v>
      </c>
      <c r="C2" s="233">
        <v>134895.6</v>
      </c>
      <c r="D2" s="230">
        <v>18.93</v>
      </c>
      <c r="E2" s="233">
        <v>7126.02</v>
      </c>
      <c r="F2" s="229"/>
      <c r="G2" s="234">
        <f t="shared" ref="G2:G6" si="1">C2/6</f>
        <v>22482.6</v>
      </c>
    </row>
    <row r="3">
      <c r="A3" s="228" t="s">
        <v>498</v>
      </c>
      <c r="B3" s="230">
        <v>600.0</v>
      </c>
      <c r="C3" s="233">
        <v>194387.06</v>
      </c>
      <c r="D3" s="230">
        <v>19.7</v>
      </c>
      <c r="E3" s="233">
        <v>9867.36</v>
      </c>
      <c r="F3" s="229"/>
      <c r="G3" s="234">
        <f t="shared" si="1"/>
        <v>32397.84333</v>
      </c>
    </row>
    <row r="4">
      <c r="A4" s="228" t="s">
        <v>499</v>
      </c>
      <c r="B4" s="230">
        <v>384.0</v>
      </c>
      <c r="C4" s="233">
        <v>8609.0</v>
      </c>
      <c r="D4" s="230">
        <v>20.07</v>
      </c>
      <c r="E4" s="233">
        <v>428.95</v>
      </c>
      <c r="F4" s="229"/>
      <c r="G4" s="234">
        <f t="shared" si="1"/>
        <v>1434.833333</v>
      </c>
    </row>
    <row r="5">
      <c r="A5" s="228" t="s">
        <v>500</v>
      </c>
      <c r="B5" s="230">
        <v>683.0</v>
      </c>
      <c r="C5" s="233">
        <v>76288.5</v>
      </c>
      <c r="D5" s="230">
        <v>19.88</v>
      </c>
      <c r="E5" s="233">
        <v>3837.45</v>
      </c>
      <c r="F5" s="229"/>
      <c r="G5" s="234">
        <f t="shared" si="1"/>
        <v>12714.75</v>
      </c>
    </row>
    <row r="6">
      <c r="A6" s="229"/>
      <c r="B6" s="228" t="s">
        <v>501</v>
      </c>
      <c r="C6" s="233">
        <v>414180.16</v>
      </c>
      <c r="D6" s="230">
        <v>19.65</v>
      </c>
      <c r="E6" s="233">
        <v>21077.87</v>
      </c>
      <c r="F6" s="229"/>
      <c r="G6" s="234">
        <f t="shared" si="1"/>
        <v>69030.02667</v>
      </c>
    </row>
    <row r="7">
      <c r="A7" s="229"/>
      <c r="B7" s="229"/>
      <c r="C7" s="229"/>
      <c r="D7" s="229"/>
      <c r="E7" s="229"/>
      <c r="F7" s="229"/>
      <c r="G7" s="229"/>
    </row>
    <row r="8">
      <c r="A8" s="229"/>
      <c r="B8" s="228" t="s">
        <v>502</v>
      </c>
      <c r="C8" s="229"/>
      <c r="D8" s="229"/>
      <c r="E8" s="229"/>
      <c r="F8" s="229"/>
      <c r="G8" s="229"/>
    </row>
    <row r="9">
      <c r="A9" s="230">
        <v>2018.0</v>
      </c>
      <c r="B9" s="233">
        <v>17261.03</v>
      </c>
      <c r="C9" s="229"/>
      <c r="D9" s="229"/>
      <c r="E9" s="229"/>
      <c r="F9" s="229"/>
      <c r="G9" s="229"/>
    </row>
    <row r="10">
      <c r="A10" s="230">
        <v>2019.0</v>
      </c>
      <c r="B10" s="233">
        <v>17934.9</v>
      </c>
      <c r="C10" s="229"/>
      <c r="D10" s="229"/>
      <c r="E10" s="229"/>
      <c r="F10" s="229"/>
      <c r="G10" s="229"/>
    </row>
    <row r="11">
      <c r="A11" s="230">
        <v>2020.0</v>
      </c>
      <c r="B11" s="233">
        <v>857.9</v>
      </c>
      <c r="C11" s="229"/>
      <c r="D11" s="229"/>
      <c r="E11" s="229"/>
      <c r="F11" s="229"/>
      <c r="G11" s="229"/>
    </row>
    <row r="12">
      <c r="A12" s="230">
        <v>2021.0</v>
      </c>
      <c r="B12" s="233">
        <v>7250.0</v>
      </c>
      <c r="C12" s="228" t="s">
        <v>503</v>
      </c>
      <c r="D12" s="229"/>
      <c r="E12" s="229"/>
      <c r="F12" s="229"/>
      <c r="G12" s="229"/>
    </row>
    <row r="13">
      <c r="A13" s="229"/>
      <c r="B13" s="233">
        <v>43303.83</v>
      </c>
      <c r="C13" s="228" t="s">
        <v>504</v>
      </c>
      <c r="D13" s="229"/>
      <c r="E13" s="229"/>
      <c r="F13" s="229"/>
      <c r="G13" s="229"/>
    </row>
    <row r="14">
      <c r="A14" s="229"/>
      <c r="B14" s="228" t="s">
        <v>505</v>
      </c>
      <c r="C14" s="228" t="s">
        <v>506</v>
      </c>
      <c r="D14" s="229"/>
      <c r="E14" s="229"/>
      <c r="F14" s="229"/>
      <c r="G14" s="229"/>
    </row>
    <row r="15">
      <c r="A15" s="230">
        <v>2021.0</v>
      </c>
      <c r="B15" s="229"/>
      <c r="C15" s="233">
        <v>40000.0</v>
      </c>
      <c r="D15" s="229"/>
      <c r="E15" s="229"/>
      <c r="F15" s="229"/>
      <c r="G15" s="229"/>
    </row>
    <row r="16">
      <c r="A16" s="230">
        <v>2022.0</v>
      </c>
      <c r="B16" s="229"/>
      <c r="C16" s="233">
        <v>8160.0</v>
      </c>
      <c r="D16" s="229"/>
      <c r="E16" s="229"/>
      <c r="F16" s="228" t="s">
        <v>507</v>
      </c>
      <c r="G16" s="228" t="s">
        <v>508</v>
      </c>
    </row>
    <row r="17">
      <c r="A17" s="230">
        <v>2023.0</v>
      </c>
      <c r="B17" s="229"/>
      <c r="C17" s="233">
        <v>8160.0</v>
      </c>
      <c r="D17" s="229"/>
      <c r="E17" s="229"/>
      <c r="F17" s="232">
        <v>85.0</v>
      </c>
      <c r="G17" s="229"/>
    </row>
    <row r="18">
      <c r="A18" s="230">
        <v>2024.0</v>
      </c>
      <c r="B18" s="229"/>
      <c r="C18" s="233">
        <v>8160.0</v>
      </c>
      <c r="D18" s="229"/>
      <c r="E18" s="229"/>
      <c r="F18" s="228" t="s">
        <v>509</v>
      </c>
      <c r="G18" s="233">
        <v>680.0</v>
      </c>
    </row>
    <row r="19">
      <c r="A19" s="229"/>
      <c r="B19" s="228" t="s">
        <v>510</v>
      </c>
      <c r="C19" s="233">
        <v>64480.0</v>
      </c>
      <c r="D19" s="229"/>
      <c r="E19" s="229"/>
      <c r="F19" s="229"/>
      <c r="G19" s="229"/>
    </row>
    <row r="20">
      <c r="A20" s="229"/>
      <c r="B20" s="228" t="s">
        <v>511</v>
      </c>
      <c r="C20" s="233">
        <v>43303.83</v>
      </c>
      <c r="D20" s="229"/>
      <c r="E20" s="229"/>
      <c r="F20" s="229"/>
      <c r="G20" s="229"/>
    </row>
    <row r="21">
      <c r="A21" s="229"/>
      <c r="B21" s="228" t="s">
        <v>512</v>
      </c>
      <c r="C21" s="233">
        <v>21176.17</v>
      </c>
      <c r="D21" s="229"/>
      <c r="E21" s="229"/>
      <c r="F21" s="229"/>
      <c r="G21" s="229"/>
    </row>
    <row r="22">
      <c r="A22" s="230">
        <v>2025.0</v>
      </c>
      <c r="B22" s="228" t="s">
        <v>513</v>
      </c>
      <c r="C22" s="233">
        <v>8160.0</v>
      </c>
      <c r="D22" s="229"/>
      <c r="E22" s="229"/>
      <c r="F22" s="229"/>
      <c r="G22" s="229"/>
    </row>
    <row r="23">
      <c r="A23" s="229"/>
      <c r="B23" s="228" t="s">
        <v>514</v>
      </c>
      <c r="C23" s="233">
        <v>29336.17</v>
      </c>
      <c r="D23" s="229"/>
      <c r="E23" s="229"/>
      <c r="F23" s="229"/>
      <c r="G23" s="229"/>
    </row>
    <row r="24">
      <c r="A24" s="229"/>
      <c r="B24" s="228" t="s">
        <v>515</v>
      </c>
      <c r="C24" s="233">
        <v>12228.27</v>
      </c>
      <c r="D24" s="229"/>
      <c r="E24" s="229"/>
      <c r="F24" s="229"/>
      <c r="G24" s="229"/>
    </row>
    <row r="25">
      <c r="A25" s="229"/>
      <c r="B25" s="228" t="s">
        <v>516</v>
      </c>
      <c r="C25" s="233">
        <v>17107.9</v>
      </c>
      <c r="D25" s="229"/>
      <c r="E25" s="229"/>
      <c r="F25" s="229"/>
      <c r="G25" s="229"/>
    </row>
    <row r="26">
      <c r="A26" s="230">
        <v>2026.0</v>
      </c>
      <c r="B26" s="228" t="s">
        <v>517</v>
      </c>
      <c r="C26" s="233">
        <v>17107.9</v>
      </c>
      <c r="D26" s="229"/>
      <c r="E26" s="229"/>
      <c r="F26" s="229"/>
      <c r="G26" s="229"/>
    </row>
    <row r="27">
      <c r="A27" s="229"/>
      <c r="B27" s="228" t="s">
        <v>518</v>
      </c>
      <c r="C27" s="233">
        <v>8160.0</v>
      </c>
      <c r="D27" s="229"/>
      <c r="E27" s="229"/>
      <c r="F27" s="229"/>
      <c r="G27" s="229"/>
    </row>
    <row r="28">
      <c r="A28" s="229"/>
      <c r="B28" s="228" t="s">
        <v>519</v>
      </c>
      <c r="C28" s="233">
        <v>25267.9</v>
      </c>
      <c r="D28" s="229"/>
      <c r="E28" s="229"/>
      <c r="F28" s="229"/>
      <c r="G28" s="229"/>
    </row>
    <row r="29">
      <c r="A29" s="229"/>
      <c r="B29" s="228" t="s">
        <v>515</v>
      </c>
      <c r="C29" s="233">
        <v>12228.27</v>
      </c>
      <c r="D29" s="229"/>
      <c r="E29" s="229"/>
      <c r="F29" s="229"/>
      <c r="G29" s="229"/>
    </row>
    <row r="30">
      <c r="A30" s="230">
        <v>2027.0</v>
      </c>
      <c r="B30" s="228" t="s">
        <v>517</v>
      </c>
      <c r="C30" s="233">
        <v>13039.63</v>
      </c>
      <c r="D30" s="229"/>
      <c r="E30" s="229"/>
      <c r="F30" s="229"/>
      <c r="G30" s="229"/>
    </row>
    <row r="31">
      <c r="A31" s="229"/>
      <c r="B31" s="228" t="s">
        <v>513</v>
      </c>
      <c r="C31" s="233">
        <v>8160.0</v>
      </c>
      <c r="D31" s="229"/>
      <c r="E31" s="229"/>
      <c r="F31" s="229"/>
      <c r="G31" s="229"/>
    </row>
    <row r="32">
      <c r="A32" s="229"/>
      <c r="B32" s="228" t="s">
        <v>514</v>
      </c>
      <c r="C32" s="233">
        <v>21199.63</v>
      </c>
      <c r="D32" s="229"/>
      <c r="E32" s="229"/>
      <c r="F32" s="229"/>
      <c r="G32" s="229"/>
    </row>
    <row r="33">
      <c r="A33" s="229"/>
      <c r="B33" s="228" t="s">
        <v>515</v>
      </c>
      <c r="C33" s="233">
        <v>12228.27</v>
      </c>
      <c r="D33" s="229"/>
      <c r="E33" s="229"/>
      <c r="F33" s="229"/>
      <c r="G33" s="229"/>
    </row>
    <row r="34">
      <c r="A34" s="230">
        <v>2028.0</v>
      </c>
      <c r="B34" s="228" t="s">
        <v>517</v>
      </c>
      <c r="C34" s="233">
        <v>8971.36</v>
      </c>
      <c r="D34" s="228" t="s">
        <v>520</v>
      </c>
      <c r="F34" s="229"/>
      <c r="G34" s="229"/>
    </row>
    <row r="35">
      <c r="A35" s="229"/>
      <c r="B35" s="228" t="s">
        <v>513</v>
      </c>
      <c r="C35" s="233">
        <v>8160.0</v>
      </c>
      <c r="D35" s="229"/>
      <c r="E35" s="229"/>
      <c r="F35" s="229"/>
      <c r="G35" s="229"/>
    </row>
    <row r="36">
      <c r="A36" s="229"/>
      <c r="B36" s="228" t="s">
        <v>521</v>
      </c>
      <c r="C36" s="233">
        <v>17131.36</v>
      </c>
      <c r="D36" s="229"/>
      <c r="E36" s="229"/>
      <c r="F36" s="229"/>
      <c r="G36" s="229"/>
    </row>
    <row r="37">
      <c r="A37" s="229"/>
      <c r="B37" s="228" t="s">
        <v>515</v>
      </c>
      <c r="C37" s="233">
        <v>12228.27</v>
      </c>
      <c r="D37" s="229"/>
      <c r="E37" s="229"/>
      <c r="F37" s="229"/>
      <c r="G37" s="229"/>
    </row>
    <row r="38">
      <c r="A38" s="230">
        <v>2029.0</v>
      </c>
      <c r="B38" s="228" t="s">
        <v>517</v>
      </c>
      <c r="C38" s="233">
        <v>4903.09</v>
      </c>
      <c r="D38" s="229"/>
      <c r="E38" s="229"/>
      <c r="F38" s="229"/>
      <c r="G38" s="229"/>
    </row>
    <row r="39">
      <c r="A39" s="229"/>
      <c r="B39" s="228" t="s">
        <v>522</v>
      </c>
      <c r="C39" s="233">
        <v>8160.0</v>
      </c>
      <c r="D39" s="229"/>
      <c r="E39" s="229"/>
      <c r="F39" s="229"/>
      <c r="G39" s="229"/>
    </row>
    <row r="40">
      <c r="A40" s="229"/>
      <c r="B40" s="228" t="s">
        <v>521</v>
      </c>
      <c r="C40" s="233">
        <v>13063.09</v>
      </c>
      <c r="D40" s="229"/>
      <c r="E40" s="229"/>
      <c r="F40" s="229"/>
      <c r="G40" s="229"/>
    </row>
    <row r="41">
      <c r="A41" s="229"/>
      <c r="B41" s="228" t="s">
        <v>515</v>
      </c>
      <c r="C41" s="233">
        <v>12228.77</v>
      </c>
      <c r="D41" s="229"/>
      <c r="E41" s="229"/>
      <c r="F41" s="229"/>
      <c r="G41" s="229"/>
    </row>
    <row r="42">
      <c r="A42" s="230">
        <v>2030.0</v>
      </c>
      <c r="B42" s="228" t="s">
        <v>517</v>
      </c>
      <c r="C42" s="233">
        <v>834.32</v>
      </c>
      <c r="D42" s="229"/>
      <c r="E42" s="229"/>
      <c r="F42" s="229"/>
      <c r="G42" s="229"/>
    </row>
  </sheetData>
  <mergeCells count="1">
    <mergeCell ref="D34:E3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75"/>
    <col customWidth="1" min="12" max="13" width="15.13"/>
  </cols>
  <sheetData>
    <row r="1">
      <c r="A1" s="209" t="s">
        <v>45</v>
      </c>
    </row>
    <row r="4">
      <c r="A4" s="65" t="s">
        <v>334</v>
      </c>
      <c r="B4" s="65" t="s">
        <v>439</v>
      </c>
      <c r="C4" s="65" t="s">
        <v>441</v>
      </c>
      <c r="D4" s="65" t="s">
        <v>443</v>
      </c>
      <c r="E4" s="65" t="s">
        <v>445</v>
      </c>
      <c r="F4" s="65" t="s">
        <v>447</v>
      </c>
      <c r="G4" s="65" t="s">
        <v>523</v>
      </c>
      <c r="H4" s="65" t="s">
        <v>451</v>
      </c>
      <c r="I4" s="65" t="s">
        <v>524</v>
      </c>
      <c r="J4" s="65" t="s">
        <v>455</v>
      </c>
      <c r="K4" s="65" t="s">
        <v>456</v>
      </c>
      <c r="L4" s="65" t="s">
        <v>525</v>
      </c>
      <c r="M4" s="65" t="s">
        <v>526</v>
      </c>
      <c r="N4" s="65" t="s">
        <v>527</v>
      </c>
    </row>
    <row r="5">
      <c r="A5" s="65">
        <v>2017.0</v>
      </c>
      <c r="B5" s="30"/>
      <c r="C5" s="30"/>
      <c r="D5" s="30"/>
      <c r="E5" s="30"/>
      <c r="F5" s="30"/>
      <c r="G5" s="30"/>
      <c r="H5" s="30"/>
      <c r="I5" s="30"/>
      <c r="J5" s="30"/>
      <c r="K5" s="30"/>
      <c r="L5" s="30"/>
      <c r="M5" s="30"/>
      <c r="N5" s="30"/>
    </row>
    <row r="6">
      <c r="A6" s="65">
        <v>2018.0</v>
      </c>
      <c r="B6" s="30"/>
      <c r="C6" s="30"/>
      <c r="D6" s="30"/>
      <c r="E6" s="30"/>
      <c r="F6" s="30"/>
      <c r="G6" s="30"/>
      <c r="H6" s="30"/>
      <c r="I6" s="30"/>
      <c r="J6" s="30"/>
      <c r="K6" s="30"/>
      <c r="L6" s="30"/>
      <c r="M6" s="30"/>
      <c r="N6" s="30"/>
    </row>
    <row r="7">
      <c r="A7" s="65">
        <v>2019.0</v>
      </c>
      <c r="B7" s="27">
        <v>2700.0</v>
      </c>
      <c r="C7" s="27">
        <v>2200.0</v>
      </c>
      <c r="D7" s="27">
        <v>3800.0</v>
      </c>
      <c r="E7" s="27">
        <v>25500.0</v>
      </c>
      <c r="F7" s="27">
        <v>11900.0</v>
      </c>
      <c r="G7" s="27">
        <v>3600.0</v>
      </c>
      <c r="H7" s="27">
        <v>5800.0</v>
      </c>
      <c r="I7" s="30"/>
      <c r="J7" s="30"/>
      <c r="K7" s="30"/>
      <c r="L7" s="30">
        <f>7*3000</f>
        <v>21000</v>
      </c>
      <c r="M7" s="30">
        <f t="shared" ref="M7:M9" si="1">sum(B7:L7)</f>
        <v>76500</v>
      </c>
      <c r="N7" s="30">
        <f t="shared" ref="N7:N9" si="2">M7/20</f>
        <v>3825</v>
      </c>
    </row>
    <row r="8">
      <c r="A8" s="65">
        <v>2020.0</v>
      </c>
      <c r="B8" s="30"/>
      <c r="C8" s="17"/>
      <c r="D8" s="17"/>
      <c r="E8" s="17"/>
      <c r="F8" s="17"/>
      <c r="G8" s="17"/>
      <c r="H8" s="17"/>
      <c r="I8" s="17"/>
      <c r="J8" s="17"/>
      <c r="K8" s="17"/>
      <c r="L8" s="30">
        <f>3*3000</f>
        <v>9000</v>
      </c>
      <c r="M8" s="30">
        <f t="shared" si="1"/>
        <v>9000</v>
      </c>
      <c r="N8" s="30">
        <f t="shared" si="2"/>
        <v>450</v>
      </c>
    </row>
    <row r="9">
      <c r="A9" s="65">
        <v>2021.0</v>
      </c>
      <c r="B9" s="27">
        <v>2000.0</v>
      </c>
      <c r="C9" s="27">
        <v>9200.0</v>
      </c>
      <c r="D9" s="27">
        <v>9600.0</v>
      </c>
      <c r="E9" s="27">
        <v>49900.0</v>
      </c>
      <c r="F9" s="27">
        <v>53000.0</v>
      </c>
      <c r="G9" s="30"/>
      <c r="H9" s="30"/>
      <c r="I9" s="30"/>
      <c r="J9" s="30"/>
      <c r="K9" s="30"/>
      <c r="L9" s="30">
        <f>7*3000</f>
        <v>21000</v>
      </c>
      <c r="M9" s="30">
        <f t="shared" si="1"/>
        <v>144700</v>
      </c>
      <c r="N9" s="30">
        <f t="shared" si="2"/>
        <v>7235</v>
      </c>
    </row>
    <row r="10">
      <c r="A10" s="30"/>
      <c r="B10" s="30"/>
      <c r="C10" s="30"/>
      <c r="D10" s="30"/>
      <c r="E10" s="30"/>
      <c r="F10" s="30"/>
      <c r="G10" s="30"/>
      <c r="H10" s="30"/>
      <c r="I10" s="30"/>
      <c r="J10" s="30"/>
      <c r="K10" s="30"/>
      <c r="L10" s="30"/>
      <c r="M10" s="30"/>
      <c r="N10" s="30"/>
    </row>
    <row r="13">
      <c r="A13" s="6" t="s">
        <v>528</v>
      </c>
      <c r="B13" s="6">
        <v>4.0</v>
      </c>
    </row>
    <row r="14">
      <c r="A14" s="6" t="s">
        <v>529</v>
      </c>
      <c r="B14" s="6">
        <v>1200.0</v>
      </c>
      <c r="C14" s="38">
        <f t="shared" ref="C14:C18" si="3">B14/20</f>
        <v>60</v>
      </c>
      <c r="D14" s="38">
        <f>C14/4</f>
        <v>15</v>
      </c>
    </row>
    <row r="15">
      <c r="A15" s="6" t="s">
        <v>530</v>
      </c>
      <c r="B15" s="6">
        <v>1800.0</v>
      </c>
      <c r="C15" s="38">
        <f t="shared" si="3"/>
        <v>90</v>
      </c>
    </row>
    <row r="16">
      <c r="A16" s="6" t="s">
        <v>531</v>
      </c>
      <c r="B16" s="21">
        <f>B15/B13</f>
        <v>450</v>
      </c>
      <c r="C16" s="38">
        <f t="shared" si="3"/>
        <v>22.5</v>
      </c>
    </row>
    <row r="17">
      <c r="A17" s="6" t="s">
        <v>532</v>
      </c>
      <c r="B17" s="6">
        <v>150.0</v>
      </c>
      <c r="C17" s="38">
        <f t="shared" si="3"/>
        <v>7.5</v>
      </c>
    </row>
    <row r="18">
      <c r="A18" s="6" t="s">
        <v>533</v>
      </c>
      <c r="B18" s="21">
        <f>B16+B17</f>
        <v>600</v>
      </c>
      <c r="C18" s="38">
        <f t="shared" si="3"/>
        <v>30</v>
      </c>
    </row>
    <row r="20">
      <c r="A20" s="6" t="s">
        <v>534</v>
      </c>
      <c r="B20" s="6">
        <v>24.0</v>
      </c>
    </row>
    <row r="21">
      <c r="A21" s="6" t="s">
        <v>535</v>
      </c>
      <c r="B21" s="21">
        <f>B20*B13</f>
        <v>96</v>
      </c>
    </row>
    <row r="22">
      <c r="A22" s="6" t="s">
        <v>536</v>
      </c>
      <c r="B22" s="21">
        <f>B21*B18</f>
        <v>57600</v>
      </c>
      <c r="C22" s="38">
        <f>B22/20</f>
        <v>2880</v>
      </c>
    </row>
    <row r="24">
      <c r="A24" s="6" t="s">
        <v>537</v>
      </c>
      <c r="B24" s="38">
        <f>N9</f>
        <v>7235</v>
      </c>
    </row>
    <row r="25">
      <c r="A25" s="6" t="s">
        <v>538</v>
      </c>
      <c r="B25" s="128">
        <f>B24/C18</f>
        <v>241.1666667</v>
      </c>
    </row>
    <row r="26">
      <c r="A26" s="6" t="s">
        <v>539</v>
      </c>
      <c r="B26" s="49">
        <v>14000.0</v>
      </c>
      <c r="C26" s="38"/>
    </row>
    <row r="27">
      <c r="A27" s="6" t="s">
        <v>540</v>
      </c>
      <c r="B27" s="235">
        <f>B26/C18</f>
        <v>466.6666667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2.25"/>
    <col customWidth="1" min="2" max="2" width="15.5"/>
  </cols>
  <sheetData>
    <row r="1">
      <c r="A1" s="1" t="s">
        <v>541</v>
      </c>
      <c r="B1" s="236"/>
    </row>
    <row r="2">
      <c r="A2" s="237"/>
      <c r="B2" s="238"/>
      <c r="C2" s="239"/>
    </row>
    <row r="3">
      <c r="A3" s="8" t="s">
        <v>542</v>
      </c>
      <c r="B3" s="16" t="s">
        <v>112</v>
      </c>
      <c r="C3" s="239"/>
    </row>
    <row r="4">
      <c r="A4" s="240" t="s">
        <v>543</v>
      </c>
      <c r="B4" s="241">
        <v>500000.0</v>
      </c>
      <c r="C4" s="239" t="s">
        <v>349</v>
      </c>
    </row>
    <row r="5">
      <c r="A5" s="240" t="s">
        <v>544</v>
      </c>
      <c r="B5" s="241">
        <v>100000.0</v>
      </c>
      <c r="C5" s="242"/>
    </row>
    <row r="6">
      <c r="A6" s="240" t="s">
        <v>545</v>
      </c>
      <c r="B6" s="243">
        <f>B5*5</f>
        <v>500000</v>
      </c>
      <c r="C6" s="239" t="s">
        <v>2</v>
      </c>
    </row>
    <row r="7">
      <c r="A7" s="4" t="s">
        <v>546</v>
      </c>
      <c r="B7" s="43">
        <f>B4+B6</f>
        <v>1000000</v>
      </c>
      <c r="C7" s="242"/>
    </row>
    <row r="8">
      <c r="A8" s="239"/>
      <c r="B8" s="236"/>
      <c r="C8" s="242"/>
    </row>
    <row r="9">
      <c r="A9" s="19" t="s">
        <v>547</v>
      </c>
      <c r="B9" s="16" t="s">
        <v>112</v>
      </c>
      <c r="C9" s="242"/>
    </row>
    <row r="10">
      <c r="A10" s="4" t="s">
        <v>548</v>
      </c>
      <c r="B10" s="241">
        <v>30.0</v>
      </c>
      <c r="C10" s="238"/>
    </row>
    <row r="11">
      <c r="A11" s="4" t="s">
        <v>549</v>
      </c>
      <c r="B11" s="241">
        <f>'Summary M3'!K28</f>
        <v>555634</v>
      </c>
      <c r="C11" s="242"/>
    </row>
    <row r="12">
      <c r="A12" s="4" t="s">
        <v>550</v>
      </c>
      <c r="B12" s="241">
        <f>B11*5</f>
        <v>2778170</v>
      </c>
      <c r="C12" s="242"/>
    </row>
    <row r="13">
      <c r="A13" s="4" t="s">
        <v>551</v>
      </c>
      <c r="B13" s="244">
        <v>0.7</v>
      </c>
      <c r="C13" s="242"/>
    </row>
    <row r="14">
      <c r="A14" s="4" t="s">
        <v>552</v>
      </c>
      <c r="B14" s="243">
        <f>B11*(1-B13)</f>
        <v>166690.2</v>
      </c>
      <c r="C14" s="242"/>
    </row>
    <row r="15">
      <c r="A15" s="4" t="s">
        <v>553</v>
      </c>
      <c r="B15" s="243">
        <f>B14*5</f>
        <v>833451</v>
      </c>
      <c r="C15" s="242"/>
    </row>
    <row r="16">
      <c r="A16" s="4" t="s">
        <v>554</v>
      </c>
      <c r="B16" s="43">
        <f>B12-B15</f>
        <v>1944719</v>
      </c>
      <c r="C16" s="242"/>
    </row>
    <row r="17">
      <c r="A17" s="242"/>
      <c r="B17" s="236"/>
      <c r="C17" s="242"/>
    </row>
    <row r="18">
      <c r="A18" s="245" t="s">
        <v>555</v>
      </c>
      <c r="B18" s="43">
        <f>B16-B7</f>
        <v>944719</v>
      </c>
      <c r="C18" s="246">
        <f>B18/B7</f>
        <v>0.944719</v>
      </c>
    </row>
    <row r="19">
      <c r="B19" s="247"/>
    </row>
    <row r="20">
      <c r="B20" s="38"/>
    </row>
    <row r="21">
      <c r="B21" s="38"/>
    </row>
    <row r="22">
      <c r="B22" s="38"/>
    </row>
    <row r="23">
      <c r="B23" s="38"/>
    </row>
    <row r="24">
      <c r="B24" s="38"/>
    </row>
    <row r="25">
      <c r="B25" s="38"/>
    </row>
    <row r="26">
      <c r="B26" s="38"/>
    </row>
    <row r="27">
      <c r="B27" s="38"/>
    </row>
    <row r="28">
      <c r="B28" s="38"/>
    </row>
    <row r="29">
      <c r="B29" s="38"/>
    </row>
    <row r="30">
      <c r="B30" s="38"/>
    </row>
    <row r="31">
      <c r="B31" s="38"/>
    </row>
    <row r="32">
      <c r="B32" s="38"/>
    </row>
    <row r="33">
      <c r="B33" s="38"/>
    </row>
    <row r="34">
      <c r="B34" s="38"/>
    </row>
    <row r="35">
      <c r="B35" s="38"/>
    </row>
    <row r="36">
      <c r="B36" s="38"/>
    </row>
    <row r="37">
      <c r="B37" s="38"/>
    </row>
    <row r="38">
      <c r="B38" s="38"/>
    </row>
    <row r="39">
      <c r="B39" s="38"/>
    </row>
    <row r="40">
      <c r="B40" s="38"/>
    </row>
    <row r="41">
      <c r="B41" s="38"/>
    </row>
    <row r="42">
      <c r="B42" s="38"/>
    </row>
    <row r="43">
      <c r="B43" s="38"/>
    </row>
    <row r="44">
      <c r="B44" s="38"/>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row r="966">
      <c r="B966" s="38"/>
    </row>
    <row r="967">
      <c r="B967" s="38"/>
    </row>
    <row r="968">
      <c r="B968" s="38"/>
    </row>
    <row r="969">
      <c r="B969" s="38"/>
    </row>
    <row r="970">
      <c r="B970" s="38"/>
    </row>
    <row r="971">
      <c r="B971" s="38"/>
    </row>
    <row r="972">
      <c r="B972" s="38"/>
    </row>
    <row r="973">
      <c r="B973" s="38"/>
    </row>
    <row r="974">
      <c r="B974" s="38"/>
    </row>
    <row r="975">
      <c r="B975" s="38"/>
    </row>
    <row r="976">
      <c r="B976" s="38"/>
    </row>
    <row r="977">
      <c r="B977" s="38"/>
    </row>
    <row r="978">
      <c r="B978" s="38"/>
    </row>
    <row r="979">
      <c r="B979" s="38"/>
    </row>
    <row r="980">
      <c r="B980" s="38"/>
    </row>
    <row r="981">
      <c r="B981" s="38"/>
    </row>
    <row r="982">
      <c r="B982" s="38"/>
    </row>
    <row r="983">
      <c r="B983" s="38"/>
    </row>
    <row r="984">
      <c r="B984" s="38"/>
    </row>
    <row r="985">
      <c r="B985" s="38"/>
    </row>
    <row r="986">
      <c r="B986" s="38"/>
    </row>
    <row r="987">
      <c r="B987" s="38"/>
    </row>
    <row r="988">
      <c r="B988" s="38"/>
    </row>
    <row r="989">
      <c r="B989" s="38"/>
    </row>
    <row r="990">
      <c r="B990" s="38"/>
    </row>
    <row r="991">
      <c r="B991" s="38"/>
    </row>
    <row r="992">
      <c r="B992" s="38"/>
    </row>
    <row r="993">
      <c r="B993" s="38"/>
    </row>
    <row r="994">
      <c r="B994" s="38"/>
    </row>
    <row r="995">
      <c r="B995" s="38"/>
    </row>
    <row r="996">
      <c r="B996" s="38"/>
    </row>
    <row r="997">
      <c r="B997" s="38"/>
    </row>
    <row r="998">
      <c r="B998" s="38"/>
    </row>
    <row r="999">
      <c r="B999" s="38"/>
    </row>
    <row r="1000">
      <c r="B1000" s="38"/>
    </row>
    <row r="1001">
      <c r="B1001" s="38"/>
    </row>
    <row r="1002">
      <c r="B1002" s="38"/>
    </row>
    <row r="1003">
      <c r="B1003" s="38"/>
    </row>
    <row r="1004">
      <c r="B1004" s="38"/>
    </row>
    <row r="1005">
      <c r="B1005" s="38"/>
    </row>
    <row r="1006">
      <c r="B1006" s="38"/>
    </row>
    <row r="1007">
      <c r="B1007" s="38"/>
    </row>
  </sheetData>
  <printOptions gridLines="1" horizontalCentered="1"/>
  <pageMargins bottom="0.75" footer="0.0" header="0.0" left="0.7" right="0.7" top="0.75"/>
  <pageSetup fitToHeight="0" cellComments="atEnd" orientation="portrait"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38"/>
  </cols>
  <sheetData>
    <row r="1">
      <c r="C1" s="248"/>
    </row>
    <row r="2">
      <c r="C2" s="248"/>
    </row>
    <row r="3">
      <c r="C3" s="248"/>
    </row>
    <row r="4">
      <c r="A4" s="249" t="s">
        <v>556</v>
      </c>
      <c r="C4" s="248"/>
    </row>
    <row r="5">
      <c r="A5" s="250" t="s">
        <v>557</v>
      </c>
      <c r="B5" s="251"/>
      <c r="C5" s="248"/>
    </row>
    <row r="6">
      <c r="A6" s="252"/>
      <c r="B6" s="252"/>
      <c r="C6" s="248"/>
    </row>
    <row r="7">
      <c r="A7" s="253" t="s">
        <v>558</v>
      </c>
      <c r="B7" s="113"/>
      <c r="C7" s="248"/>
    </row>
    <row r="8">
      <c r="A8" s="254" t="s">
        <v>559</v>
      </c>
      <c r="B8" s="113"/>
      <c r="C8" s="248"/>
    </row>
    <row r="9">
      <c r="A9" s="255" t="s">
        <v>560</v>
      </c>
      <c r="B9" s="255" t="s">
        <v>561</v>
      </c>
      <c r="C9" s="248"/>
    </row>
    <row r="10">
      <c r="A10" s="256" t="s">
        <v>562</v>
      </c>
      <c r="B10" s="257">
        <v>280000.0</v>
      </c>
      <c r="C10" s="258" t="s">
        <v>563</v>
      </c>
    </row>
    <row r="11">
      <c r="A11" s="256" t="s">
        <v>564</v>
      </c>
      <c r="B11" s="259">
        <v>1400000.0</v>
      </c>
      <c r="C11" s="248"/>
    </row>
    <row r="12">
      <c r="A12" s="255" t="s">
        <v>565</v>
      </c>
      <c r="B12" s="260">
        <v>1400000.0</v>
      </c>
      <c r="C12" s="248"/>
    </row>
    <row r="13">
      <c r="A13" s="261"/>
      <c r="B13" s="261"/>
      <c r="C13" s="248"/>
    </row>
    <row r="14">
      <c r="A14" s="262" t="s">
        <v>566</v>
      </c>
      <c r="B14" s="113"/>
      <c r="C14" s="248"/>
    </row>
    <row r="15">
      <c r="A15" s="256" t="s">
        <v>567</v>
      </c>
      <c r="B15" s="263">
        <v>0.8</v>
      </c>
      <c r="C15" s="248"/>
    </row>
    <row r="16">
      <c r="A16" s="255" t="s">
        <v>560</v>
      </c>
      <c r="B16" s="255" t="s">
        <v>561</v>
      </c>
      <c r="C16" s="248"/>
    </row>
    <row r="17">
      <c r="A17" s="256" t="s">
        <v>27</v>
      </c>
      <c r="B17" s="260">
        <v>500000.0</v>
      </c>
      <c r="C17" s="258" t="s">
        <v>568</v>
      </c>
    </row>
    <row r="18">
      <c r="A18" s="256" t="s">
        <v>569</v>
      </c>
      <c r="B18" s="257">
        <v>93933.0</v>
      </c>
      <c r="C18" s="258" t="s">
        <v>570</v>
      </c>
    </row>
    <row r="19">
      <c r="A19" s="256" t="s">
        <v>571</v>
      </c>
      <c r="B19" s="260">
        <v>469665.0</v>
      </c>
      <c r="C19" s="248"/>
    </row>
    <row r="20">
      <c r="A20" s="256" t="s">
        <v>572</v>
      </c>
      <c r="B20" s="257">
        <v>56000.0</v>
      </c>
      <c r="C20" s="258" t="s">
        <v>573</v>
      </c>
    </row>
    <row r="21">
      <c r="A21" s="256" t="s">
        <v>564</v>
      </c>
      <c r="B21" s="260">
        <v>280000.0</v>
      </c>
      <c r="C21" s="248"/>
    </row>
    <row r="22">
      <c r="A22" s="264" t="s">
        <v>574</v>
      </c>
      <c r="B22" s="265">
        <v>1249665.0</v>
      </c>
      <c r="C22" s="248"/>
    </row>
    <row r="23">
      <c r="A23" s="266" t="s">
        <v>575</v>
      </c>
      <c r="B23" s="267">
        <v>150335.0</v>
      </c>
      <c r="C23" s="248"/>
    </row>
    <row r="24">
      <c r="A24" s="266" t="s">
        <v>576</v>
      </c>
      <c r="B24" s="268">
        <v>0.11</v>
      </c>
      <c r="C24" s="248"/>
    </row>
    <row r="25">
      <c r="A25" s="252"/>
      <c r="B25" s="252"/>
      <c r="C25" s="248"/>
    </row>
    <row r="26">
      <c r="A26" s="269" t="s">
        <v>577</v>
      </c>
      <c r="B26" s="113"/>
      <c r="C26" s="248"/>
    </row>
    <row r="27">
      <c r="A27" s="270" t="s">
        <v>578</v>
      </c>
      <c r="B27" s="113"/>
      <c r="C27" s="248"/>
    </row>
    <row r="28">
      <c r="A28" s="256" t="s">
        <v>579</v>
      </c>
      <c r="B28" s="271">
        <v>200.0</v>
      </c>
      <c r="C28" s="248"/>
    </row>
    <row r="29">
      <c r="A29" s="255" t="s">
        <v>580</v>
      </c>
      <c r="B29" s="257">
        <v>5000.0</v>
      </c>
      <c r="C29" s="248"/>
    </row>
    <row r="30">
      <c r="A30" s="256" t="s">
        <v>581</v>
      </c>
      <c r="B30" s="271">
        <v>15.0</v>
      </c>
      <c r="C30" s="248"/>
    </row>
    <row r="31">
      <c r="A31" s="255" t="s">
        <v>582</v>
      </c>
      <c r="B31" s="257">
        <v>50000.0</v>
      </c>
      <c r="C31" s="248"/>
    </row>
    <row r="32">
      <c r="A32" s="252"/>
      <c r="B32" s="252"/>
      <c r="C32" s="248"/>
    </row>
    <row r="33">
      <c r="A33" s="255" t="s">
        <v>583</v>
      </c>
      <c r="B33" s="255" t="s">
        <v>561</v>
      </c>
      <c r="C33" s="248"/>
    </row>
    <row r="34">
      <c r="A34" s="256" t="s">
        <v>584</v>
      </c>
      <c r="B34" s="257">
        <v>1000000.0</v>
      </c>
      <c r="C34" s="248"/>
    </row>
    <row r="35">
      <c r="A35" s="256" t="s">
        <v>585</v>
      </c>
      <c r="B35" s="260">
        <v>5000000.0</v>
      </c>
      <c r="C35" s="248"/>
    </row>
    <row r="36">
      <c r="A36" s="256" t="s">
        <v>586</v>
      </c>
      <c r="B36" s="257">
        <v>750000.0</v>
      </c>
      <c r="C36" s="248"/>
    </row>
    <row r="37">
      <c r="A37" s="256" t="s">
        <v>587</v>
      </c>
      <c r="B37" s="272">
        <v>3750000.0</v>
      </c>
      <c r="C37" s="248"/>
    </row>
    <row r="38">
      <c r="A38" s="264" t="s">
        <v>588</v>
      </c>
      <c r="B38" s="265">
        <v>8750000.0</v>
      </c>
      <c r="C38" s="248"/>
    </row>
    <row r="39">
      <c r="A39" s="264" t="s">
        <v>589</v>
      </c>
      <c r="B39" s="265">
        <v>150335.0</v>
      </c>
      <c r="C39" s="248"/>
    </row>
    <row r="40">
      <c r="A40" s="266" t="s">
        <v>575</v>
      </c>
      <c r="B40" s="273">
        <v>8900335.0</v>
      </c>
      <c r="C40" s="248"/>
    </row>
    <row r="41">
      <c r="A41" s="266" t="s">
        <v>576</v>
      </c>
      <c r="B41" s="268">
        <v>6.36</v>
      </c>
      <c r="C41" s="248"/>
    </row>
    <row r="42">
      <c r="A42" s="251"/>
      <c r="B42" s="251"/>
      <c r="C42" s="248"/>
    </row>
    <row r="43">
      <c r="A43" s="251"/>
      <c r="B43" s="251"/>
      <c r="C43" s="248"/>
    </row>
    <row r="44">
      <c r="A44" s="6" t="s">
        <v>590</v>
      </c>
      <c r="B44" s="274"/>
      <c r="C44" s="248"/>
    </row>
    <row r="45">
      <c r="A45" s="6" t="s">
        <v>591</v>
      </c>
      <c r="B45" s="274"/>
      <c r="C45" s="248"/>
    </row>
    <row r="46">
      <c r="A46" s="6" t="s">
        <v>592</v>
      </c>
      <c r="C46" s="248"/>
    </row>
    <row r="47">
      <c r="A47" s="6" t="s">
        <v>593</v>
      </c>
      <c r="C47" s="248"/>
    </row>
    <row r="48">
      <c r="A48" s="6" t="s">
        <v>594</v>
      </c>
      <c r="C48" s="248"/>
    </row>
    <row r="49">
      <c r="A49" s="6" t="s">
        <v>595</v>
      </c>
      <c r="C49" s="248"/>
    </row>
    <row r="50">
      <c r="C50" s="248"/>
    </row>
    <row r="51">
      <c r="C51" s="248"/>
    </row>
    <row r="52">
      <c r="C52" s="248"/>
    </row>
    <row r="53">
      <c r="C53" s="248"/>
    </row>
    <row r="54">
      <c r="C54" s="248"/>
    </row>
    <row r="55">
      <c r="C55" s="248"/>
    </row>
    <row r="56">
      <c r="C56" s="248"/>
    </row>
    <row r="57">
      <c r="C57" s="248"/>
    </row>
    <row r="58">
      <c r="C58" s="248"/>
    </row>
    <row r="59">
      <c r="C59" s="248"/>
    </row>
    <row r="60">
      <c r="C60" s="248"/>
    </row>
    <row r="61">
      <c r="C61" s="248"/>
    </row>
    <row r="62">
      <c r="C62" s="248"/>
    </row>
    <row r="63">
      <c r="C63" s="248"/>
    </row>
    <row r="64">
      <c r="C64" s="248"/>
    </row>
    <row r="65">
      <c r="C65" s="248"/>
    </row>
    <row r="66">
      <c r="C66" s="248"/>
    </row>
    <row r="67">
      <c r="C67" s="248"/>
    </row>
    <row r="68">
      <c r="C68" s="248"/>
    </row>
    <row r="69">
      <c r="C69" s="248"/>
    </row>
    <row r="70">
      <c r="C70" s="248"/>
    </row>
    <row r="71">
      <c r="C71" s="248"/>
    </row>
    <row r="72">
      <c r="C72" s="248"/>
    </row>
    <row r="73">
      <c r="C73" s="248"/>
    </row>
    <row r="74">
      <c r="C74" s="248"/>
    </row>
    <row r="75">
      <c r="C75" s="248"/>
    </row>
    <row r="76">
      <c r="C76" s="248"/>
    </row>
    <row r="77">
      <c r="C77" s="248"/>
    </row>
    <row r="78">
      <c r="C78" s="248"/>
    </row>
    <row r="79">
      <c r="C79" s="248"/>
    </row>
    <row r="80">
      <c r="C80" s="248"/>
    </row>
    <row r="81">
      <c r="C81" s="248"/>
    </row>
    <row r="82">
      <c r="C82" s="248"/>
    </row>
    <row r="83">
      <c r="C83" s="248"/>
    </row>
    <row r="84">
      <c r="C84" s="248"/>
    </row>
    <row r="85">
      <c r="C85" s="248"/>
    </row>
    <row r="86">
      <c r="C86" s="248"/>
    </row>
    <row r="87">
      <c r="C87" s="248"/>
    </row>
    <row r="88">
      <c r="C88" s="248"/>
    </row>
    <row r="89">
      <c r="C89" s="248"/>
    </row>
    <row r="90">
      <c r="C90" s="248"/>
    </row>
    <row r="91">
      <c r="C91" s="248"/>
    </row>
    <row r="92">
      <c r="C92" s="248"/>
    </row>
    <row r="93">
      <c r="C93" s="248"/>
    </row>
    <row r="94">
      <c r="C94" s="248"/>
    </row>
    <row r="95">
      <c r="C95" s="248"/>
    </row>
    <row r="96">
      <c r="C96" s="248"/>
    </row>
    <row r="97">
      <c r="C97" s="248"/>
    </row>
    <row r="98">
      <c r="C98" s="248"/>
    </row>
    <row r="99">
      <c r="C99" s="248"/>
    </row>
    <row r="100">
      <c r="C100" s="248"/>
    </row>
    <row r="101">
      <c r="C101" s="248"/>
    </row>
    <row r="102">
      <c r="C102" s="248"/>
    </row>
    <row r="103">
      <c r="C103" s="248"/>
    </row>
    <row r="104">
      <c r="C104" s="248"/>
    </row>
    <row r="105">
      <c r="C105" s="248"/>
    </row>
    <row r="106">
      <c r="C106" s="248"/>
    </row>
    <row r="107">
      <c r="C107" s="248"/>
    </row>
    <row r="108">
      <c r="C108" s="248"/>
    </row>
    <row r="109">
      <c r="C109" s="248"/>
    </row>
    <row r="110">
      <c r="C110" s="248"/>
    </row>
    <row r="111">
      <c r="C111" s="248"/>
    </row>
    <row r="112">
      <c r="C112" s="248"/>
    </row>
    <row r="113">
      <c r="C113" s="248"/>
    </row>
    <row r="114">
      <c r="C114" s="248"/>
    </row>
    <row r="115">
      <c r="C115" s="248"/>
    </row>
    <row r="116">
      <c r="C116" s="248"/>
    </row>
    <row r="117">
      <c r="C117" s="248"/>
    </row>
    <row r="118">
      <c r="C118" s="248"/>
    </row>
    <row r="119">
      <c r="C119" s="248"/>
    </row>
    <row r="120">
      <c r="C120" s="248"/>
    </row>
    <row r="121">
      <c r="C121" s="248"/>
    </row>
    <row r="122">
      <c r="C122" s="248"/>
    </row>
    <row r="123">
      <c r="C123" s="248"/>
    </row>
    <row r="124">
      <c r="C124" s="248"/>
    </row>
    <row r="125">
      <c r="C125" s="248"/>
    </row>
    <row r="126">
      <c r="C126" s="248"/>
    </row>
    <row r="127">
      <c r="C127" s="248"/>
    </row>
    <row r="128">
      <c r="C128" s="248"/>
    </row>
    <row r="129">
      <c r="C129" s="248"/>
    </row>
    <row r="130">
      <c r="C130" s="248"/>
    </row>
    <row r="131">
      <c r="C131" s="248"/>
    </row>
    <row r="132">
      <c r="C132" s="248"/>
    </row>
    <row r="133">
      <c r="C133" s="248"/>
    </row>
    <row r="134">
      <c r="C134" s="248"/>
    </row>
    <row r="135">
      <c r="C135" s="248"/>
    </row>
    <row r="136">
      <c r="C136" s="248"/>
    </row>
    <row r="137">
      <c r="C137" s="248"/>
    </row>
    <row r="138">
      <c r="C138" s="248"/>
    </row>
    <row r="139">
      <c r="C139" s="248"/>
    </row>
    <row r="140">
      <c r="C140" s="248"/>
    </row>
    <row r="141">
      <c r="C141" s="248"/>
    </row>
    <row r="142">
      <c r="C142" s="248"/>
    </row>
    <row r="143">
      <c r="C143" s="248"/>
    </row>
    <row r="144">
      <c r="C144" s="248"/>
    </row>
    <row r="145">
      <c r="C145" s="248"/>
    </row>
    <row r="146">
      <c r="C146" s="248"/>
    </row>
    <row r="147">
      <c r="C147" s="248"/>
    </row>
    <row r="148">
      <c r="C148" s="248"/>
    </row>
    <row r="149">
      <c r="C149" s="248"/>
    </row>
    <row r="150">
      <c r="C150" s="248"/>
    </row>
    <row r="151">
      <c r="C151" s="248"/>
    </row>
    <row r="152">
      <c r="C152" s="248"/>
    </row>
    <row r="153">
      <c r="C153" s="248"/>
    </row>
    <row r="154">
      <c r="C154" s="248"/>
    </row>
    <row r="155">
      <c r="C155" s="248"/>
    </row>
    <row r="156">
      <c r="C156" s="248"/>
    </row>
    <row r="157">
      <c r="C157" s="248"/>
    </row>
    <row r="158">
      <c r="C158" s="248"/>
    </row>
    <row r="159">
      <c r="C159" s="248"/>
    </row>
    <row r="160">
      <c r="C160" s="248"/>
    </row>
    <row r="161">
      <c r="C161" s="248"/>
    </row>
    <row r="162">
      <c r="C162" s="248"/>
    </row>
    <row r="163">
      <c r="C163" s="248"/>
    </row>
    <row r="164">
      <c r="C164" s="248"/>
    </row>
    <row r="165">
      <c r="C165" s="248"/>
    </row>
    <row r="166">
      <c r="C166" s="248"/>
    </row>
    <row r="167">
      <c r="C167" s="248"/>
    </row>
    <row r="168">
      <c r="C168" s="248"/>
    </row>
    <row r="169">
      <c r="C169" s="248"/>
    </row>
    <row r="170">
      <c r="C170" s="248"/>
    </row>
    <row r="171">
      <c r="C171" s="248"/>
    </row>
    <row r="172">
      <c r="C172" s="248"/>
    </row>
    <row r="173">
      <c r="C173" s="248"/>
    </row>
    <row r="174">
      <c r="C174" s="248"/>
    </row>
    <row r="175">
      <c r="C175" s="248"/>
    </row>
    <row r="176">
      <c r="C176" s="248"/>
    </row>
    <row r="177">
      <c r="C177" s="248"/>
    </row>
    <row r="178">
      <c r="C178" s="248"/>
    </row>
    <row r="179">
      <c r="C179" s="248"/>
    </row>
    <row r="180">
      <c r="C180" s="248"/>
    </row>
    <row r="181">
      <c r="C181" s="248"/>
    </row>
    <row r="182">
      <c r="C182" s="248"/>
    </row>
    <row r="183">
      <c r="C183" s="248"/>
    </row>
    <row r="184">
      <c r="C184" s="248"/>
    </row>
    <row r="185">
      <c r="C185" s="248"/>
    </row>
    <row r="186">
      <c r="C186" s="248"/>
    </row>
    <row r="187">
      <c r="C187" s="248"/>
    </row>
    <row r="188">
      <c r="C188" s="248"/>
    </row>
    <row r="189">
      <c r="C189" s="248"/>
    </row>
    <row r="190">
      <c r="C190" s="248"/>
    </row>
    <row r="191">
      <c r="C191" s="248"/>
    </row>
    <row r="192">
      <c r="C192" s="248"/>
    </row>
    <row r="193">
      <c r="C193" s="248"/>
    </row>
    <row r="194">
      <c r="C194" s="248"/>
    </row>
    <row r="195">
      <c r="C195" s="248"/>
    </row>
    <row r="196">
      <c r="C196" s="248"/>
    </row>
    <row r="197">
      <c r="C197" s="248"/>
    </row>
    <row r="198">
      <c r="C198" s="248"/>
    </row>
    <row r="199">
      <c r="C199" s="248"/>
    </row>
    <row r="200">
      <c r="C200" s="248"/>
    </row>
    <row r="201">
      <c r="C201" s="248"/>
    </row>
    <row r="202">
      <c r="C202" s="248"/>
    </row>
    <row r="203">
      <c r="C203" s="248"/>
    </row>
    <row r="204">
      <c r="C204" s="248"/>
    </row>
    <row r="205">
      <c r="C205" s="248"/>
    </row>
    <row r="206">
      <c r="C206" s="248"/>
    </row>
    <row r="207">
      <c r="C207" s="248"/>
    </row>
    <row r="208">
      <c r="C208" s="248"/>
    </row>
    <row r="209">
      <c r="C209" s="248"/>
    </row>
    <row r="210">
      <c r="C210" s="248"/>
    </row>
    <row r="211">
      <c r="C211" s="248"/>
    </row>
    <row r="212">
      <c r="C212" s="248"/>
    </row>
    <row r="213">
      <c r="C213" s="248"/>
    </row>
    <row r="214">
      <c r="C214" s="248"/>
    </row>
    <row r="215">
      <c r="C215" s="248"/>
    </row>
    <row r="216">
      <c r="C216" s="248"/>
    </row>
    <row r="217">
      <c r="C217" s="248"/>
    </row>
    <row r="218">
      <c r="C218" s="248"/>
    </row>
    <row r="219">
      <c r="C219" s="248"/>
    </row>
    <row r="220">
      <c r="C220" s="248"/>
    </row>
    <row r="221">
      <c r="C221" s="248"/>
    </row>
    <row r="222">
      <c r="C222" s="248"/>
    </row>
    <row r="223">
      <c r="C223" s="248"/>
    </row>
    <row r="224">
      <c r="C224" s="248"/>
    </row>
    <row r="225">
      <c r="C225" s="248"/>
    </row>
    <row r="226">
      <c r="C226" s="248"/>
    </row>
    <row r="227">
      <c r="C227" s="248"/>
    </row>
    <row r="228">
      <c r="C228" s="248"/>
    </row>
    <row r="229">
      <c r="C229" s="248"/>
    </row>
    <row r="230">
      <c r="C230" s="248"/>
    </row>
    <row r="231">
      <c r="C231" s="248"/>
    </row>
    <row r="232">
      <c r="C232" s="248"/>
    </row>
    <row r="233">
      <c r="C233" s="248"/>
    </row>
    <row r="234">
      <c r="C234" s="248"/>
    </row>
    <row r="235">
      <c r="C235" s="248"/>
    </row>
    <row r="236">
      <c r="C236" s="248"/>
    </row>
    <row r="237">
      <c r="C237" s="248"/>
    </row>
    <row r="238">
      <c r="C238" s="248"/>
    </row>
    <row r="239">
      <c r="C239" s="248"/>
    </row>
    <row r="240">
      <c r="C240" s="248"/>
    </row>
    <row r="241">
      <c r="C241" s="248"/>
    </row>
    <row r="242">
      <c r="C242" s="248"/>
    </row>
    <row r="243">
      <c r="C243" s="248"/>
    </row>
    <row r="244">
      <c r="C244" s="248"/>
    </row>
    <row r="245">
      <c r="C245" s="248"/>
    </row>
    <row r="246">
      <c r="C246" s="248"/>
    </row>
    <row r="247">
      <c r="C247" s="248"/>
    </row>
    <row r="248">
      <c r="C248" s="248"/>
    </row>
    <row r="249">
      <c r="C249" s="248"/>
    </row>
    <row r="250">
      <c r="C250" s="248"/>
    </row>
    <row r="251">
      <c r="C251" s="248"/>
    </row>
    <row r="252">
      <c r="C252" s="248"/>
    </row>
    <row r="253">
      <c r="C253" s="248"/>
    </row>
    <row r="254">
      <c r="C254" s="248"/>
    </row>
    <row r="255">
      <c r="C255" s="248"/>
    </row>
    <row r="256">
      <c r="C256" s="248"/>
    </row>
    <row r="257">
      <c r="C257" s="248"/>
    </row>
    <row r="258">
      <c r="C258" s="248"/>
    </row>
    <row r="259">
      <c r="C259" s="248"/>
    </row>
    <row r="260">
      <c r="C260" s="248"/>
    </row>
    <row r="261">
      <c r="C261" s="248"/>
    </row>
    <row r="262">
      <c r="C262" s="248"/>
    </row>
    <row r="263">
      <c r="C263" s="248"/>
    </row>
    <row r="264">
      <c r="C264" s="248"/>
    </row>
    <row r="265">
      <c r="C265" s="248"/>
    </row>
    <row r="266">
      <c r="C266" s="248"/>
    </row>
    <row r="267">
      <c r="C267" s="248"/>
    </row>
    <row r="268">
      <c r="C268" s="248"/>
    </row>
    <row r="269">
      <c r="C269" s="248"/>
    </row>
    <row r="270">
      <c r="C270" s="248"/>
    </row>
    <row r="271">
      <c r="C271" s="248"/>
    </row>
    <row r="272">
      <c r="C272" s="248"/>
    </row>
    <row r="273">
      <c r="C273" s="248"/>
    </row>
    <row r="274">
      <c r="C274" s="248"/>
    </row>
    <row r="275">
      <c r="C275" s="248"/>
    </row>
    <row r="276">
      <c r="C276" s="248"/>
    </row>
    <row r="277">
      <c r="C277" s="248"/>
    </row>
    <row r="278">
      <c r="C278" s="248"/>
    </row>
    <row r="279">
      <c r="C279" s="248"/>
    </row>
    <row r="280">
      <c r="C280" s="248"/>
    </row>
    <row r="281">
      <c r="C281" s="248"/>
    </row>
    <row r="282">
      <c r="C282" s="248"/>
    </row>
    <row r="283">
      <c r="C283" s="248"/>
    </row>
    <row r="284">
      <c r="C284" s="248"/>
    </row>
    <row r="285">
      <c r="C285" s="248"/>
    </row>
    <row r="286">
      <c r="C286" s="248"/>
    </row>
    <row r="287">
      <c r="C287" s="248"/>
    </row>
    <row r="288">
      <c r="C288" s="248"/>
    </row>
    <row r="289">
      <c r="C289" s="248"/>
    </row>
    <row r="290">
      <c r="C290" s="248"/>
    </row>
    <row r="291">
      <c r="C291" s="248"/>
    </row>
    <row r="292">
      <c r="C292" s="248"/>
    </row>
    <row r="293">
      <c r="C293" s="248"/>
    </row>
    <row r="294">
      <c r="C294" s="248"/>
    </row>
    <row r="295">
      <c r="C295" s="248"/>
    </row>
    <row r="296">
      <c r="C296" s="248"/>
    </row>
    <row r="297">
      <c r="C297" s="248"/>
    </row>
    <row r="298">
      <c r="C298" s="248"/>
    </row>
    <row r="299">
      <c r="C299" s="248"/>
    </row>
    <row r="300">
      <c r="C300" s="248"/>
    </row>
    <row r="301">
      <c r="C301" s="248"/>
    </row>
    <row r="302">
      <c r="C302" s="248"/>
    </row>
    <row r="303">
      <c r="C303" s="248"/>
    </row>
    <row r="304">
      <c r="C304" s="248"/>
    </row>
    <row r="305">
      <c r="C305" s="248"/>
    </row>
    <row r="306">
      <c r="C306" s="248"/>
    </row>
    <row r="307">
      <c r="C307" s="248"/>
    </row>
    <row r="308">
      <c r="C308" s="248"/>
    </row>
    <row r="309">
      <c r="C309" s="248"/>
    </row>
    <row r="310">
      <c r="C310" s="248"/>
    </row>
    <row r="311">
      <c r="C311" s="248"/>
    </row>
    <row r="312">
      <c r="C312" s="248"/>
    </row>
    <row r="313">
      <c r="C313" s="248"/>
    </row>
    <row r="314">
      <c r="C314" s="248"/>
    </row>
    <row r="315">
      <c r="C315" s="248"/>
    </row>
    <row r="316">
      <c r="C316" s="248"/>
    </row>
    <row r="317">
      <c r="C317" s="248"/>
    </row>
    <row r="318">
      <c r="C318" s="248"/>
    </row>
    <row r="319">
      <c r="C319" s="248"/>
    </row>
    <row r="320">
      <c r="C320" s="248"/>
    </row>
    <row r="321">
      <c r="C321" s="248"/>
    </row>
    <row r="322">
      <c r="C322" s="248"/>
    </row>
    <row r="323">
      <c r="C323" s="248"/>
    </row>
    <row r="324">
      <c r="C324" s="248"/>
    </row>
    <row r="325">
      <c r="C325" s="248"/>
    </row>
    <row r="326">
      <c r="C326" s="248"/>
    </row>
    <row r="327">
      <c r="C327" s="248"/>
    </row>
    <row r="328">
      <c r="C328" s="248"/>
    </row>
    <row r="329">
      <c r="C329" s="248"/>
    </row>
    <row r="330">
      <c r="C330" s="248"/>
    </row>
    <row r="331">
      <c r="C331" s="248"/>
    </row>
    <row r="332">
      <c r="C332" s="248"/>
    </row>
    <row r="333">
      <c r="C333" s="248"/>
    </row>
    <row r="334">
      <c r="C334" s="248"/>
    </row>
    <row r="335">
      <c r="C335" s="248"/>
    </row>
    <row r="336">
      <c r="C336" s="248"/>
    </row>
    <row r="337">
      <c r="C337" s="248"/>
    </row>
    <row r="338">
      <c r="C338" s="248"/>
    </row>
    <row r="339">
      <c r="C339" s="248"/>
    </row>
    <row r="340">
      <c r="C340" s="248"/>
    </row>
    <row r="341">
      <c r="C341" s="248"/>
    </row>
    <row r="342">
      <c r="C342" s="248"/>
    </row>
    <row r="343">
      <c r="C343" s="248"/>
    </row>
    <row r="344">
      <c r="C344" s="248"/>
    </row>
    <row r="345">
      <c r="C345" s="248"/>
    </row>
    <row r="346">
      <c r="C346" s="248"/>
    </row>
    <row r="347">
      <c r="C347" s="248"/>
    </row>
    <row r="348">
      <c r="C348" s="248"/>
    </row>
    <row r="349">
      <c r="C349" s="248"/>
    </row>
    <row r="350">
      <c r="C350" s="248"/>
    </row>
    <row r="351">
      <c r="C351" s="248"/>
    </row>
    <row r="352">
      <c r="C352" s="248"/>
    </row>
    <row r="353">
      <c r="C353" s="248"/>
    </row>
    <row r="354">
      <c r="C354" s="248"/>
    </row>
    <row r="355">
      <c r="C355" s="248"/>
    </row>
    <row r="356">
      <c r="C356" s="248"/>
    </row>
    <row r="357">
      <c r="C357" s="248"/>
    </row>
    <row r="358">
      <c r="C358" s="248"/>
    </row>
    <row r="359">
      <c r="C359" s="248"/>
    </row>
    <row r="360">
      <c r="C360" s="248"/>
    </row>
    <row r="361">
      <c r="C361" s="248"/>
    </row>
    <row r="362">
      <c r="C362" s="248"/>
    </row>
    <row r="363">
      <c r="C363" s="248"/>
    </row>
    <row r="364">
      <c r="C364" s="248"/>
    </row>
    <row r="365">
      <c r="C365" s="248"/>
    </row>
    <row r="366">
      <c r="C366" s="248"/>
    </row>
    <row r="367">
      <c r="C367" s="248"/>
    </row>
    <row r="368">
      <c r="C368" s="248"/>
    </row>
    <row r="369">
      <c r="C369" s="248"/>
    </row>
    <row r="370">
      <c r="C370" s="248"/>
    </row>
    <row r="371">
      <c r="C371" s="248"/>
    </row>
    <row r="372">
      <c r="C372" s="248"/>
    </row>
    <row r="373">
      <c r="C373" s="248"/>
    </row>
    <row r="374">
      <c r="C374" s="248"/>
    </row>
    <row r="375">
      <c r="C375" s="248"/>
    </row>
    <row r="376">
      <c r="C376" s="248"/>
    </row>
    <row r="377">
      <c r="C377" s="248"/>
    </row>
    <row r="378">
      <c r="C378" s="248"/>
    </row>
    <row r="379">
      <c r="C379" s="248"/>
    </row>
    <row r="380">
      <c r="C380" s="248"/>
    </row>
    <row r="381">
      <c r="C381" s="248"/>
    </row>
    <row r="382">
      <c r="C382" s="248"/>
    </row>
    <row r="383">
      <c r="C383" s="248"/>
    </row>
    <row r="384">
      <c r="C384" s="248"/>
    </row>
    <row r="385">
      <c r="C385" s="248"/>
    </row>
    <row r="386">
      <c r="C386" s="248"/>
    </row>
    <row r="387">
      <c r="C387" s="248"/>
    </row>
    <row r="388">
      <c r="C388" s="248"/>
    </row>
    <row r="389">
      <c r="C389" s="248"/>
    </row>
    <row r="390">
      <c r="C390" s="248"/>
    </row>
    <row r="391">
      <c r="C391" s="248"/>
    </row>
    <row r="392">
      <c r="C392" s="248"/>
    </row>
    <row r="393">
      <c r="C393" s="248"/>
    </row>
    <row r="394">
      <c r="C394" s="248"/>
    </row>
    <row r="395">
      <c r="C395" s="248"/>
    </row>
    <row r="396">
      <c r="C396" s="248"/>
    </row>
    <row r="397">
      <c r="C397" s="248"/>
    </row>
    <row r="398">
      <c r="C398" s="248"/>
    </row>
    <row r="399">
      <c r="C399" s="248"/>
    </row>
    <row r="400">
      <c r="C400" s="248"/>
    </row>
    <row r="401">
      <c r="C401" s="248"/>
    </row>
    <row r="402">
      <c r="C402" s="248"/>
    </row>
    <row r="403">
      <c r="C403" s="248"/>
    </row>
    <row r="404">
      <c r="C404" s="248"/>
    </row>
    <row r="405">
      <c r="C405" s="248"/>
    </row>
    <row r="406">
      <c r="C406" s="248"/>
    </row>
    <row r="407">
      <c r="C407" s="248"/>
    </row>
    <row r="408">
      <c r="C408" s="248"/>
    </row>
    <row r="409">
      <c r="C409" s="248"/>
    </row>
    <row r="410">
      <c r="C410" s="248"/>
    </row>
    <row r="411">
      <c r="C411" s="248"/>
    </row>
    <row r="412">
      <c r="C412" s="248"/>
    </row>
    <row r="413">
      <c r="C413" s="248"/>
    </row>
    <row r="414">
      <c r="C414" s="248"/>
    </row>
    <row r="415">
      <c r="C415" s="248"/>
    </row>
    <row r="416">
      <c r="C416" s="248"/>
    </row>
    <row r="417">
      <c r="C417" s="248"/>
    </row>
    <row r="418">
      <c r="C418" s="248"/>
    </row>
    <row r="419">
      <c r="C419" s="248"/>
    </row>
    <row r="420">
      <c r="C420" s="248"/>
    </row>
    <row r="421">
      <c r="C421" s="248"/>
    </row>
    <row r="422">
      <c r="C422" s="248"/>
    </row>
    <row r="423">
      <c r="C423" s="248"/>
    </row>
    <row r="424">
      <c r="C424" s="248"/>
    </row>
    <row r="425">
      <c r="C425" s="248"/>
    </row>
    <row r="426">
      <c r="C426" s="248"/>
    </row>
    <row r="427">
      <c r="C427" s="248"/>
    </row>
    <row r="428">
      <c r="C428" s="248"/>
    </row>
    <row r="429">
      <c r="C429" s="248"/>
    </row>
    <row r="430">
      <c r="C430" s="248"/>
    </row>
    <row r="431">
      <c r="C431" s="248"/>
    </row>
    <row r="432">
      <c r="C432" s="248"/>
    </row>
    <row r="433">
      <c r="C433" s="248"/>
    </row>
    <row r="434">
      <c r="C434" s="248"/>
    </row>
    <row r="435">
      <c r="C435" s="248"/>
    </row>
    <row r="436">
      <c r="C436" s="248"/>
    </row>
    <row r="437">
      <c r="C437" s="248"/>
    </row>
    <row r="438">
      <c r="C438" s="248"/>
    </row>
    <row r="439">
      <c r="C439" s="248"/>
    </row>
    <row r="440">
      <c r="C440" s="248"/>
    </row>
    <row r="441">
      <c r="C441" s="248"/>
    </row>
    <row r="442">
      <c r="C442" s="248"/>
    </row>
    <row r="443">
      <c r="C443" s="248"/>
    </row>
    <row r="444">
      <c r="C444" s="248"/>
    </row>
    <row r="445">
      <c r="C445" s="248"/>
    </row>
    <row r="446">
      <c r="C446" s="248"/>
    </row>
    <row r="447">
      <c r="C447" s="248"/>
    </row>
    <row r="448">
      <c r="C448" s="248"/>
    </row>
    <row r="449">
      <c r="C449" s="248"/>
    </row>
    <row r="450">
      <c r="C450" s="248"/>
    </row>
    <row r="451">
      <c r="C451" s="248"/>
    </row>
    <row r="452">
      <c r="C452" s="248"/>
    </row>
    <row r="453">
      <c r="C453" s="248"/>
    </row>
    <row r="454">
      <c r="C454" s="248"/>
    </row>
    <row r="455">
      <c r="C455" s="248"/>
    </row>
    <row r="456">
      <c r="C456" s="248"/>
    </row>
    <row r="457">
      <c r="C457" s="248"/>
    </row>
    <row r="458">
      <c r="C458" s="248"/>
    </row>
    <row r="459">
      <c r="C459" s="248"/>
    </row>
    <row r="460">
      <c r="C460" s="248"/>
    </row>
    <row r="461">
      <c r="C461" s="248"/>
    </row>
    <row r="462">
      <c r="C462" s="248"/>
    </row>
    <row r="463">
      <c r="C463" s="248"/>
    </row>
    <row r="464">
      <c r="C464" s="248"/>
    </row>
    <row r="465">
      <c r="C465" s="248"/>
    </row>
    <row r="466">
      <c r="C466" s="248"/>
    </row>
    <row r="467">
      <c r="C467" s="248"/>
    </row>
    <row r="468">
      <c r="C468" s="248"/>
    </row>
    <row r="469">
      <c r="C469" s="248"/>
    </row>
    <row r="470">
      <c r="C470" s="248"/>
    </row>
    <row r="471">
      <c r="C471" s="248"/>
    </row>
    <row r="472">
      <c r="C472" s="248"/>
    </row>
    <row r="473">
      <c r="C473" s="248"/>
    </row>
    <row r="474">
      <c r="C474" s="248"/>
    </row>
    <row r="475">
      <c r="C475" s="248"/>
    </row>
    <row r="476">
      <c r="C476" s="248"/>
    </row>
    <row r="477">
      <c r="C477" s="248"/>
    </row>
    <row r="478">
      <c r="C478" s="248"/>
    </row>
    <row r="479">
      <c r="C479" s="248"/>
    </row>
    <row r="480">
      <c r="C480" s="248"/>
    </row>
    <row r="481">
      <c r="C481" s="248"/>
    </row>
    <row r="482">
      <c r="C482" s="248"/>
    </row>
    <row r="483">
      <c r="C483" s="248"/>
    </row>
    <row r="484">
      <c r="C484" s="248"/>
    </row>
    <row r="485">
      <c r="C485" s="248"/>
    </row>
    <row r="486">
      <c r="C486" s="248"/>
    </row>
    <row r="487">
      <c r="C487" s="248"/>
    </row>
    <row r="488">
      <c r="C488" s="248"/>
    </row>
    <row r="489">
      <c r="C489" s="248"/>
    </row>
    <row r="490">
      <c r="C490" s="248"/>
    </row>
    <row r="491">
      <c r="C491" s="248"/>
    </row>
    <row r="492">
      <c r="C492" s="248"/>
    </row>
    <row r="493">
      <c r="C493" s="248"/>
    </row>
    <row r="494">
      <c r="C494" s="248"/>
    </row>
    <row r="495">
      <c r="C495" s="248"/>
    </row>
    <row r="496">
      <c r="C496" s="248"/>
    </row>
    <row r="497">
      <c r="C497" s="248"/>
    </row>
    <row r="498">
      <c r="C498" s="248"/>
    </row>
    <row r="499">
      <c r="C499" s="248"/>
    </row>
    <row r="500">
      <c r="C500" s="248"/>
    </row>
    <row r="501">
      <c r="C501" s="248"/>
    </row>
    <row r="502">
      <c r="C502" s="248"/>
    </row>
    <row r="503">
      <c r="C503" s="248"/>
    </row>
    <row r="504">
      <c r="C504" s="248"/>
    </row>
    <row r="505">
      <c r="C505" s="248"/>
    </row>
    <row r="506">
      <c r="C506" s="248"/>
    </row>
    <row r="507">
      <c r="C507" s="248"/>
    </row>
    <row r="508">
      <c r="C508" s="248"/>
    </row>
    <row r="509">
      <c r="C509" s="248"/>
    </row>
    <row r="510">
      <c r="C510" s="248"/>
    </row>
    <row r="511">
      <c r="C511" s="248"/>
    </row>
    <row r="512">
      <c r="C512" s="248"/>
    </row>
    <row r="513">
      <c r="C513" s="248"/>
    </row>
    <row r="514">
      <c r="C514" s="248"/>
    </row>
    <row r="515">
      <c r="C515" s="248"/>
    </row>
    <row r="516">
      <c r="C516" s="248"/>
    </row>
    <row r="517">
      <c r="C517" s="248"/>
    </row>
    <row r="518">
      <c r="C518" s="248"/>
    </row>
    <row r="519">
      <c r="C519" s="248"/>
    </row>
    <row r="520">
      <c r="C520" s="248"/>
    </row>
    <row r="521">
      <c r="C521" s="248"/>
    </row>
    <row r="522">
      <c r="C522" s="248"/>
    </row>
    <row r="523">
      <c r="C523" s="248"/>
    </row>
    <row r="524">
      <c r="C524" s="248"/>
    </row>
    <row r="525">
      <c r="C525" s="248"/>
    </row>
    <row r="526">
      <c r="C526" s="248"/>
    </row>
    <row r="527">
      <c r="C527" s="248"/>
    </row>
    <row r="528">
      <c r="C528" s="248"/>
    </row>
    <row r="529">
      <c r="C529" s="248"/>
    </row>
    <row r="530">
      <c r="C530" s="248"/>
    </row>
    <row r="531">
      <c r="C531" s="248"/>
    </row>
    <row r="532">
      <c r="C532" s="248"/>
    </row>
    <row r="533">
      <c r="C533" s="248"/>
    </row>
    <row r="534">
      <c r="C534" s="248"/>
    </row>
    <row r="535">
      <c r="C535" s="248"/>
    </row>
    <row r="536">
      <c r="C536" s="248"/>
    </row>
    <row r="537">
      <c r="C537" s="248"/>
    </row>
    <row r="538">
      <c r="C538" s="248"/>
    </row>
    <row r="539">
      <c r="C539" s="248"/>
    </row>
    <row r="540">
      <c r="C540" s="248"/>
    </row>
    <row r="541">
      <c r="C541" s="248"/>
    </row>
    <row r="542">
      <c r="C542" s="248"/>
    </row>
    <row r="543">
      <c r="C543" s="248"/>
    </row>
    <row r="544">
      <c r="C544" s="248"/>
    </row>
    <row r="545">
      <c r="C545" s="248"/>
    </row>
    <row r="546">
      <c r="C546" s="248"/>
    </row>
    <row r="547">
      <c r="C547" s="248"/>
    </row>
    <row r="548">
      <c r="C548" s="248"/>
    </row>
    <row r="549">
      <c r="C549" s="248"/>
    </row>
    <row r="550">
      <c r="C550" s="248"/>
    </row>
    <row r="551">
      <c r="C551" s="248"/>
    </row>
    <row r="552">
      <c r="C552" s="248"/>
    </row>
    <row r="553">
      <c r="C553" s="248"/>
    </row>
    <row r="554">
      <c r="C554" s="248"/>
    </row>
    <row r="555">
      <c r="C555" s="248"/>
    </row>
    <row r="556">
      <c r="C556" s="248"/>
    </row>
    <row r="557">
      <c r="C557" s="248"/>
    </row>
    <row r="558">
      <c r="C558" s="248"/>
    </row>
    <row r="559">
      <c r="C559" s="248"/>
    </row>
    <row r="560">
      <c r="C560" s="248"/>
    </row>
    <row r="561">
      <c r="C561" s="248"/>
    </row>
    <row r="562">
      <c r="C562" s="248"/>
    </row>
    <row r="563">
      <c r="C563" s="248"/>
    </row>
    <row r="564">
      <c r="C564" s="248"/>
    </row>
    <row r="565">
      <c r="C565" s="248"/>
    </row>
    <row r="566">
      <c r="C566" s="248"/>
    </row>
    <row r="567">
      <c r="C567" s="248"/>
    </row>
    <row r="568">
      <c r="C568" s="248"/>
    </row>
    <row r="569">
      <c r="C569" s="248"/>
    </row>
    <row r="570">
      <c r="C570" s="248"/>
    </row>
    <row r="571">
      <c r="C571" s="248"/>
    </row>
    <row r="572">
      <c r="C572" s="248"/>
    </row>
    <row r="573">
      <c r="C573" s="248"/>
    </row>
    <row r="574">
      <c r="C574" s="248"/>
    </row>
    <row r="575">
      <c r="C575" s="248"/>
    </row>
    <row r="576">
      <c r="C576" s="248"/>
    </row>
    <row r="577">
      <c r="C577" s="248"/>
    </row>
    <row r="578">
      <c r="C578" s="248"/>
    </row>
    <row r="579">
      <c r="C579" s="248"/>
    </row>
    <row r="580">
      <c r="C580" s="248"/>
    </row>
    <row r="581">
      <c r="C581" s="248"/>
    </row>
    <row r="582">
      <c r="C582" s="248"/>
    </row>
    <row r="583">
      <c r="C583" s="248"/>
    </row>
    <row r="584">
      <c r="C584" s="248"/>
    </row>
    <row r="585">
      <c r="C585" s="248"/>
    </row>
    <row r="586">
      <c r="C586" s="248"/>
    </row>
    <row r="587">
      <c r="C587" s="248"/>
    </row>
    <row r="588">
      <c r="C588" s="248"/>
    </row>
    <row r="589">
      <c r="C589" s="248"/>
    </row>
    <row r="590">
      <c r="C590" s="248"/>
    </row>
    <row r="591">
      <c r="C591" s="248"/>
    </row>
    <row r="592">
      <c r="C592" s="248"/>
    </row>
    <row r="593">
      <c r="C593" s="248"/>
    </row>
    <row r="594">
      <c r="C594" s="248"/>
    </row>
    <row r="595">
      <c r="C595" s="248"/>
    </row>
    <row r="596">
      <c r="C596" s="248"/>
    </row>
    <row r="597">
      <c r="C597" s="248"/>
    </row>
    <row r="598">
      <c r="C598" s="248"/>
    </row>
    <row r="599">
      <c r="C599" s="248"/>
    </row>
    <row r="600">
      <c r="C600" s="248"/>
    </row>
    <row r="601">
      <c r="C601" s="248"/>
    </row>
    <row r="602">
      <c r="C602" s="248"/>
    </row>
    <row r="603">
      <c r="C603" s="248"/>
    </row>
    <row r="604">
      <c r="C604" s="248"/>
    </row>
    <row r="605">
      <c r="C605" s="248"/>
    </row>
    <row r="606">
      <c r="C606" s="248"/>
    </row>
    <row r="607">
      <c r="C607" s="248"/>
    </row>
    <row r="608">
      <c r="C608" s="248"/>
    </row>
    <row r="609">
      <c r="C609" s="248"/>
    </row>
    <row r="610">
      <c r="C610" s="248"/>
    </row>
    <row r="611">
      <c r="C611" s="248"/>
    </row>
    <row r="612">
      <c r="C612" s="248"/>
    </row>
    <row r="613">
      <c r="C613" s="248"/>
    </row>
    <row r="614">
      <c r="C614" s="248"/>
    </row>
    <row r="615">
      <c r="C615" s="248"/>
    </row>
    <row r="616">
      <c r="C616" s="248"/>
    </row>
    <row r="617">
      <c r="C617" s="248"/>
    </row>
    <row r="618">
      <c r="C618" s="248"/>
    </row>
    <row r="619">
      <c r="C619" s="248"/>
    </row>
    <row r="620">
      <c r="C620" s="248"/>
    </row>
    <row r="621">
      <c r="C621" s="248"/>
    </row>
    <row r="622">
      <c r="C622" s="248"/>
    </row>
    <row r="623">
      <c r="C623" s="248"/>
    </row>
    <row r="624">
      <c r="C624" s="248"/>
    </row>
    <row r="625">
      <c r="C625" s="248"/>
    </row>
    <row r="626">
      <c r="C626" s="248"/>
    </row>
    <row r="627">
      <c r="C627" s="248"/>
    </row>
    <row r="628">
      <c r="C628" s="248"/>
    </row>
    <row r="629">
      <c r="C629" s="248"/>
    </row>
    <row r="630">
      <c r="C630" s="248"/>
    </row>
    <row r="631">
      <c r="C631" s="248"/>
    </row>
    <row r="632">
      <c r="C632" s="248"/>
    </row>
    <row r="633">
      <c r="C633" s="248"/>
    </row>
    <row r="634">
      <c r="C634" s="248"/>
    </row>
    <row r="635">
      <c r="C635" s="248"/>
    </row>
    <row r="636">
      <c r="C636" s="248"/>
    </row>
    <row r="637">
      <c r="C637" s="248"/>
    </row>
    <row r="638">
      <c r="C638" s="248"/>
    </row>
    <row r="639">
      <c r="C639" s="248"/>
    </row>
    <row r="640">
      <c r="C640" s="248"/>
    </row>
    <row r="641">
      <c r="C641" s="248"/>
    </row>
    <row r="642">
      <c r="C642" s="248"/>
    </row>
    <row r="643">
      <c r="C643" s="248"/>
    </row>
    <row r="644">
      <c r="C644" s="248"/>
    </row>
    <row r="645">
      <c r="C645" s="248"/>
    </row>
    <row r="646">
      <c r="C646" s="248"/>
    </row>
    <row r="647">
      <c r="C647" s="248"/>
    </row>
    <row r="648">
      <c r="C648" s="248"/>
    </row>
    <row r="649">
      <c r="C649" s="248"/>
    </row>
    <row r="650">
      <c r="C650" s="248"/>
    </row>
    <row r="651">
      <c r="C651" s="248"/>
    </row>
    <row r="652">
      <c r="C652" s="248"/>
    </row>
    <row r="653">
      <c r="C653" s="248"/>
    </row>
    <row r="654">
      <c r="C654" s="248"/>
    </row>
    <row r="655">
      <c r="C655" s="248"/>
    </row>
    <row r="656">
      <c r="C656" s="248"/>
    </row>
    <row r="657">
      <c r="C657" s="248"/>
    </row>
    <row r="658">
      <c r="C658" s="248"/>
    </row>
    <row r="659">
      <c r="C659" s="248"/>
    </row>
    <row r="660">
      <c r="C660" s="248"/>
    </row>
    <row r="661">
      <c r="C661" s="248"/>
    </row>
    <row r="662">
      <c r="C662" s="248"/>
    </row>
    <row r="663">
      <c r="C663" s="248"/>
    </row>
    <row r="664">
      <c r="C664" s="248"/>
    </row>
    <row r="665">
      <c r="C665" s="248"/>
    </row>
    <row r="666">
      <c r="C666" s="248"/>
    </row>
    <row r="667">
      <c r="C667" s="248"/>
    </row>
    <row r="668">
      <c r="C668" s="248"/>
    </row>
    <row r="669">
      <c r="C669" s="248"/>
    </row>
    <row r="670">
      <c r="C670" s="248"/>
    </row>
    <row r="671">
      <c r="C671" s="248"/>
    </row>
    <row r="672">
      <c r="C672" s="248"/>
    </row>
    <row r="673">
      <c r="C673" s="248"/>
    </row>
    <row r="674">
      <c r="C674" s="248"/>
    </row>
    <row r="675">
      <c r="C675" s="248"/>
    </row>
    <row r="676">
      <c r="C676" s="248"/>
    </row>
    <row r="677">
      <c r="C677" s="248"/>
    </row>
    <row r="678">
      <c r="C678" s="248"/>
    </row>
    <row r="679">
      <c r="C679" s="248"/>
    </row>
    <row r="680">
      <c r="C680" s="248"/>
    </row>
    <row r="681">
      <c r="C681" s="248"/>
    </row>
    <row r="682">
      <c r="C682" s="248"/>
    </row>
    <row r="683">
      <c r="C683" s="248"/>
    </row>
    <row r="684">
      <c r="C684" s="248"/>
    </row>
    <row r="685">
      <c r="C685" s="248"/>
    </row>
    <row r="686">
      <c r="C686" s="248"/>
    </row>
    <row r="687">
      <c r="C687" s="248"/>
    </row>
    <row r="688">
      <c r="C688" s="248"/>
    </row>
    <row r="689">
      <c r="C689" s="248"/>
    </row>
    <row r="690">
      <c r="C690" s="248"/>
    </row>
    <row r="691">
      <c r="C691" s="248"/>
    </row>
    <row r="692">
      <c r="C692" s="248"/>
    </row>
    <row r="693">
      <c r="C693" s="248"/>
    </row>
    <row r="694">
      <c r="C694" s="248"/>
    </row>
    <row r="695">
      <c r="C695" s="248"/>
    </row>
    <row r="696">
      <c r="C696" s="248"/>
    </row>
    <row r="697">
      <c r="C697" s="248"/>
    </row>
    <row r="698">
      <c r="C698" s="248"/>
    </row>
    <row r="699">
      <c r="C699" s="248"/>
    </row>
    <row r="700">
      <c r="C700" s="248"/>
    </row>
    <row r="701">
      <c r="C701" s="248"/>
    </row>
    <row r="702">
      <c r="C702" s="248"/>
    </row>
    <row r="703">
      <c r="C703" s="248"/>
    </row>
    <row r="704">
      <c r="C704" s="248"/>
    </row>
    <row r="705">
      <c r="C705" s="248"/>
    </row>
    <row r="706">
      <c r="C706" s="248"/>
    </row>
    <row r="707">
      <c r="C707" s="248"/>
    </row>
    <row r="708">
      <c r="C708" s="248"/>
    </row>
    <row r="709">
      <c r="C709" s="248"/>
    </row>
    <row r="710">
      <c r="C710" s="248"/>
    </row>
    <row r="711">
      <c r="C711" s="248"/>
    </row>
    <row r="712">
      <c r="C712" s="248"/>
    </row>
    <row r="713">
      <c r="C713" s="248"/>
    </row>
    <row r="714">
      <c r="C714" s="248"/>
    </row>
    <row r="715">
      <c r="C715" s="248"/>
    </row>
    <row r="716">
      <c r="C716" s="248"/>
    </row>
    <row r="717">
      <c r="C717" s="248"/>
    </row>
    <row r="718">
      <c r="C718" s="248"/>
    </row>
    <row r="719">
      <c r="C719" s="248"/>
    </row>
    <row r="720">
      <c r="C720" s="248"/>
    </row>
    <row r="721">
      <c r="C721" s="248"/>
    </row>
    <row r="722">
      <c r="C722" s="248"/>
    </row>
    <row r="723">
      <c r="C723" s="248"/>
    </row>
    <row r="724">
      <c r="C724" s="248"/>
    </row>
    <row r="725">
      <c r="C725" s="248"/>
    </row>
    <row r="726">
      <c r="C726" s="248"/>
    </row>
    <row r="727">
      <c r="C727" s="248"/>
    </row>
    <row r="728">
      <c r="C728" s="248"/>
    </row>
    <row r="729">
      <c r="C729" s="248"/>
    </row>
    <row r="730">
      <c r="C730" s="248"/>
    </row>
    <row r="731">
      <c r="C731" s="248"/>
    </row>
    <row r="732">
      <c r="C732" s="248"/>
    </row>
    <row r="733">
      <c r="C733" s="248"/>
    </row>
    <row r="734">
      <c r="C734" s="248"/>
    </row>
    <row r="735">
      <c r="C735" s="248"/>
    </row>
    <row r="736">
      <c r="C736" s="248"/>
    </row>
    <row r="737">
      <c r="C737" s="248"/>
    </row>
    <row r="738">
      <c r="C738" s="248"/>
    </row>
    <row r="739">
      <c r="C739" s="248"/>
    </row>
    <row r="740">
      <c r="C740" s="248"/>
    </row>
    <row r="741">
      <c r="C741" s="248"/>
    </row>
    <row r="742">
      <c r="C742" s="248"/>
    </row>
    <row r="743">
      <c r="C743" s="248"/>
    </row>
    <row r="744">
      <c r="C744" s="248"/>
    </row>
    <row r="745">
      <c r="C745" s="248"/>
    </row>
    <row r="746">
      <c r="C746" s="248"/>
    </row>
    <row r="747">
      <c r="C747" s="248"/>
    </row>
    <row r="748">
      <c r="C748" s="248"/>
    </row>
    <row r="749">
      <c r="C749" s="248"/>
    </row>
    <row r="750">
      <c r="C750" s="248"/>
    </row>
    <row r="751">
      <c r="C751" s="248"/>
    </row>
    <row r="752">
      <c r="C752" s="248"/>
    </row>
    <row r="753">
      <c r="C753" s="248"/>
    </row>
    <row r="754">
      <c r="C754" s="248"/>
    </row>
    <row r="755">
      <c r="C755" s="248"/>
    </row>
    <row r="756">
      <c r="C756" s="248"/>
    </row>
    <row r="757">
      <c r="C757" s="248"/>
    </row>
    <row r="758">
      <c r="C758" s="248"/>
    </row>
    <row r="759">
      <c r="C759" s="248"/>
    </row>
    <row r="760">
      <c r="C760" s="248"/>
    </row>
    <row r="761">
      <c r="C761" s="248"/>
    </row>
    <row r="762">
      <c r="C762" s="248"/>
    </row>
    <row r="763">
      <c r="C763" s="248"/>
    </row>
    <row r="764">
      <c r="C764" s="248"/>
    </row>
    <row r="765">
      <c r="C765" s="248"/>
    </row>
    <row r="766">
      <c r="C766" s="248"/>
    </row>
    <row r="767">
      <c r="C767" s="248"/>
    </row>
    <row r="768">
      <c r="C768" s="248"/>
    </row>
    <row r="769">
      <c r="C769" s="248"/>
    </row>
    <row r="770">
      <c r="C770" s="248"/>
    </row>
    <row r="771">
      <c r="C771" s="248"/>
    </row>
    <row r="772">
      <c r="C772" s="248"/>
    </row>
    <row r="773">
      <c r="C773" s="248"/>
    </row>
    <row r="774">
      <c r="C774" s="248"/>
    </row>
    <row r="775">
      <c r="C775" s="248"/>
    </row>
    <row r="776">
      <c r="C776" s="248"/>
    </row>
    <row r="777">
      <c r="C777" s="248"/>
    </row>
    <row r="778">
      <c r="C778" s="248"/>
    </row>
    <row r="779">
      <c r="C779" s="248"/>
    </row>
    <row r="780">
      <c r="C780" s="248"/>
    </row>
    <row r="781">
      <c r="C781" s="248"/>
    </row>
    <row r="782">
      <c r="C782" s="248"/>
    </row>
    <row r="783">
      <c r="C783" s="248"/>
    </row>
    <row r="784">
      <c r="C784" s="248"/>
    </row>
    <row r="785">
      <c r="C785" s="248"/>
    </row>
    <row r="786">
      <c r="C786" s="248"/>
    </row>
    <row r="787">
      <c r="C787" s="248"/>
    </row>
    <row r="788">
      <c r="C788" s="248"/>
    </row>
    <row r="789">
      <c r="C789" s="248"/>
    </row>
    <row r="790">
      <c r="C790" s="248"/>
    </row>
    <row r="791">
      <c r="C791" s="248"/>
    </row>
    <row r="792">
      <c r="C792" s="248"/>
    </row>
    <row r="793">
      <c r="C793" s="248"/>
    </row>
    <row r="794">
      <c r="C794" s="248"/>
    </row>
    <row r="795">
      <c r="C795" s="248"/>
    </row>
    <row r="796">
      <c r="C796" s="248"/>
    </row>
    <row r="797">
      <c r="C797" s="248"/>
    </row>
    <row r="798">
      <c r="C798" s="248"/>
    </row>
    <row r="799">
      <c r="C799" s="248"/>
    </row>
    <row r="800">
      <c r="C800" s="248"/>
    </row>
    <row r="801">
      <c r="C801" s="248"/>
    </row>
    <row r="802">
      <c r="C802" s="248"/>
    </row>
    <row r="803">
      <c r="C803" s="248"/>
    </row>
    <row r="804">
      <c r="C804" s="248"/>
    </row>
    <row r="805">
      <c r="C805" s="248"/>
    </row>
    <row r="806">
      <c r="C806" s="248"/>
    </row>
    <row r="807">
      <c r="C807" s="248"/>
    </row>
    <row r="808">
      <c r="C808" s="248"/>
    </row>
    <row r="809">
      <c r="C809" s="248"/>
    </row>
    <row r="810">
      <c r="C810" s="248"/>
    </row>
    <row r="811">
      <c r="C811" s="248"/>
    </row>
    <row r="812">
      <c r="C812" s="248"/>
    </row>
    <row r="813">
      <c r="C813" s="248"/>
    </row>
    <row r="814">
      <c r="C814" s="248"/>
    </row>
    <row r="815">
      <c r="C815" s="248"/>
    </row>
    <row r="816">
      <c r="C816" s="248"/>
    </row>
    <row r="817">
      <c r="C817" s="248"/>
    </row>
    <row r="818">
      <c r="C818" s="248"/>
    </row>
    <row r="819">
      <c r="C819" s="248"/>
    </row>
    <row r="820">
      <c r="C820" s="248"/>
    </row>
    <row r="821">
      <c r="C821" s="248"/>
    </row>
    <row r="822">
      <c r="C822" s="248"/>
    </row>
    <row r="823">
      <c r="C823" s="248"/>
    </row>
    <row r="824">
      <c r="C824" s="248"/>
    </row>
    <row r="825">
      <c r="C825" s="248"/>
    </row>
    <row r="826">
      <c r="C826" s="248"/>
    </row>
    <row r="827">
      <c r="C827" s="248"/>
    </row>
    <row r="828">
      <c r="C828" s="248"/>
    </row>
    <row r="829">
      <c r="C829" s="248"/>
    </row>
    <row r="830">
      <c r="C830" s="248"/>
    </row>
    <row r="831">
      <c r="C831" s="248"/>
    </row>
    <row r="832">
      <c r="C832" s="248"/>
    </row>
    <row r="833">
      <c r="C833" s="248"/>
    </row>
    <row r="834">
      <c r="C834" s="248"/>
    </row>
    <row r="835">
      <c r="C835" s="248"/>
    </row>
    <row r="836">
      <c r="C836" s="248"/>
    </row>
    <row r="837">
      <c r="C837" s="248"/>
    </row>
    <row r="838">
      <c r="C838" s="248"/>
    </row>
    <row r="839">
      <c r="C839" s="248"/>
    </row>
    <row r="840">
      <c r="C840" s="248"/>
    </row>
    <row r="841">
      <c r="C841" s="248"/>
    </row>
    <row r="842">
      <c r="C842" s="248"/>
    </row>
    <row r="843">
      <c r="C843" s="248"/>
    </row>
    <row r="844">
      <c r="C844" s="248"/>
    </row>
    <row r="845">
      <c r="C845" s="248"/>
    </row>
    <row r="846">
      <c r="C846" s="248"/>
    </row>
    <row r="847">
      <c r="C847" s="248"/>
    </row>
    <row r="848">
      <c r="C848" s="248"/>
    </row>
    <row r="849">
      <c r="C849" s="248"/>
    </row>
    <row r="850">
      <c r="C850" s="248"/>
    </row>
    <row r="851">
      <c r="C851" s="248"/>
    </row>
    <row r="852">
      <c r="C852" s="248"/>
    </row>
    <row r="853">
      <c r="C853" s="248"/>
    </row>
    <row r="854">
      <c r="C854" s="248"/>
    </row>
    <row r="855">
      <c r="C855" s="248"/>
    </row>
    <row r="856">
      <c r="C856" s="248"/>
    </row>
    <row r="857">
      <c r="C857" s="248"/>
    </row>
    <row r="858">
      <c r="C858" s="248"/>
    </row>
    <row r="859">
      <c r="C859" s="248"/>
    </row>
    <row r="860">
      <c r="C860" s="248"/>
    </row>
    <row r="861">
      <c r="C861" s="248"/>
    </row>
    <row r="862">
      <c r="C862" s="248"/>
    </row>
    <row r="863">
      <c r="C863" s="248"/>
    </row>
    <row r="864">
      <c r="C864" s="248"/>
    </row>
    <row r="865">
      <c r="C865" s="248"/>
    </row>
    <row r="866">
      <c r="C866" s="248"/>
    </row>
    <row r="867">
      <c r="C867" s="248"/>
    </row>
    <row r="868">
      <c r="C868" s="248"/>
    </row>
    <row r="869">
      <c r="C869" s="248"/>
    </row>
    <row r="870">
      <c r="C870" s="248"/>
    </row>
    <row r="871">
      <c r="C871" s="248"/>
    </row>
    <row r="872">
      <c r="C872" s="248"/>
    </row>
    <row r="873">
      <c r="C873" s="248"/>
    </row>
    <row r="874">
      <c r="C874" s="248"/>
    </row>
    <row r="875">
      <c r="C875" s="248"/>
    </row>
    <row r="876">
      <c r="C876" s="248"/>
    </row>
    <row r="877">
      <c r="C877" s="248"/>
    </row>
    <row r="878">
      <c r="C878" s="248"/>
    </row>
    <row r="879">
      <c r="C879" s="248"/>
    </row>
    <row r="880">
      <c r="C880" s="248"/>
    </row>
    <row r="881">
      <c r="C881" s="248"/>
    </row>
    <row r="882">
      <c r="C882" s="248"/>
    </row>
    <row r="883">
      <c r="C883" s="248"/>
    </row>
    <row r="884">
      <c r="C884" s="248"/>
    </row>
    <row r="885">
      <c r="C885" s="248"/>
    </row>
    <row r="886">
      <c r="C886" s="248"/>
    </row>
    <row r="887">
      <c r="C887" s="248"/>
    </row>
    <row r="888">
      <c r="C888" s="248"/>
    </row>
    <row r="889">
      <c r="C889" s="248"/>
    </row>
    <row r="890">
      <c r="C890" s="248"/>
    </row>
    <row r="891">
      <c r="C891" s="248"/>
    </row>
    <row r="892">
      <c r="C892" s="248"/>
    </row>
    <row r="893">
      <c r="C893" s="248"/>
    </row>
    <row r="894">
      <c r="C894" s="248"/>
    </row>
    <row r="895">
      <c r="C895" s="248"/>
    </row>
    <row r="896">
      <c r="C896" s="248"/>
    </row>
    <row r="897">
      <c r="C897" s="248"/>
    </row>
    <row r="898">
      <c r="C898" s="248"/>
    </row>
    <row r="899">
      <c r="C899" s="248"/>
    </row>
    <row r="900">
      <c r="C900" s="248"/>
    </row>
    <row r="901">
      <c r="C901" s="248"/>
    </row>
    <row r="902">
      <c r="C902" s="248"/>
    </row>
    <row r="903">
      <c r="C903" s="248"/>
    </row>
    <row r="904">
      <c r="C904" s="248"/>
    </row>
    <row r="905">
      <c r="C905" s="248"/>
    </row>
    <row r="906">
      <c r="C906" s="248"/>
    </row>
    <row r="907">
      <c r="C907" s="248"/>
    </row>
    <row r="908">
      <c r="C908" s="248"/>
    </row>
    <row r="909">
      <c r="C909" s="248"/>
    </row>
    <row r="910">
      <c r="C910" s="248"/>
    </row>
    <row r="911">
      <c r="C911" s="248"/>
    </row>
    <row r="912">
      <c r="C912" s="248"/>
    </row>
    <row r="913">
      <c r="C913" s="248"/>
    </row>
    <row r="914">
      <c r="C914" s="248"/>
    </row>
    <row r="915">
      <c r="C915" s="248"/>
    </row>
    <row r="916">
      <c r="C916" s="248"/>
    </row>
    <row r="917">
      <c r="C917" s="248"/>
    </row>
    <row r="918">
      <c r="C918" s="248"/>
    </row>
    <row r="919">
      <c r="C919" s="248"/>
    </row>
    <row r="920">
      <c r="C920" s="248"/>
    </row>
    <row r="921">
      <c r="C921" s="248"/>
    </row>
    <row r="922">
      <c r="C922" s="248"/>
    </row>
    <row r="923">
      <c r="C923" s="248"/>
    </row>
    <row r="924">
      <c r="C924" s="248"/>
    </row>
    <row r="925">
      <c r="C925" s="248"/>
    </row>
    <row r="926">
      <c r="C926" s="248"/>
    </row>
    <row r="927">
      <c r="C927" s="248"/>
    </row>
    <row r="928">
      <c r="C928" s="248"/>
    </row>
    <row r="929">
      <c r="C929" s="248"/>
    </row>
    <row r="930">
      <c r="C930" s="248"/>
    </row>
    <row r="931">
      <c r="C931" s="248"/>
    </row>
    <row r="932">
      <c r="C932" s="248"/>
    </row>
    <row r="933">
      <c r="C933" s="248"/>
    </row>
    <row r="934">
      <c r="C934" s="248"/>
    </row>
    <row r="935">
      <c r="C935" s="248"/>
    </row>
    <row r="936">
      <c r="C936" s="248"/>
    </row>
    <row r="937">
      <c r="C937" s="248"/>
    </row>
    <row r="938">
      <c r="C938" s="248"/>
    </row>
    <row r="939">
      <c r="C939" s="248"/>
    </row>
    <row r="940">
      <c r="C940" s="248"/>
    </row>
    <row r="941">
      <c r="C941" s="248"/>
    </row>
    <row r="942">
      <c r="C942" s="248"/>
    </row>
    <row r="943">
      <c r="C943" s="248"/>
    </row>
    <row r="944">
      <c r="C944" s="248"/>
    </row>
    <row r="945">
      <c r="C945" s="248"/>
    </row>
    <row r="946">
      <c r="C946" s="248"/>
    </row>
    <row r="947">
      <c r="C947" s="248"/>
    </row>
    <row r="948">
      <c r="C948" s="248"/>
    </row>
    <row r="949">
      <c r="C949" s="248"/>
    </row>
    <row r="950">
      <c r="C950" s="248"/>
    </row>
    <row r="951">
      <c r="C951" s="248"/>
    </row>
    <row r="952">
      <c r="C952" s="248"/>
    </row>
    <row r="953">
      <c r="C953" s="248"/>
    </row>
    <row r="954">
      <c r="C954" s="248"/>
    </row>
    <row r="955">
      <c r="C955" s="248"/>
    </row>
    <row r="956">
      <c r="C956" s="248"/>
    </row>
    <row r="957">
      <c r="C957" s="248"/>
    </row>
    <row r="958">
      <c r="C958" s="248"/>
    </row>
    <row r="959">
      <c r="C959" s="248"/>
    </row>
    <row r="960">
      <c r="C960" s="248"/>
    </row>
    <row r="961">
      <c r="C961" s="248"/>
    </row>
    <row r="962">
      <c r="C962" s="248"/>
    </row>
    <row r="963">
      <c r="C963" s="248"/>
    </row>
    <row r="964">
      <c r="C964" s="248"/>
    </row>
    <row r="965">
      <c r="C965" s="248"/>
    </row>
    <row r="966">
      <c r="C966" s="248"/>
    </row>
    <row r="967">
      <c r="C967" s="248"/>
    </row>
    <row r="968">
      <c r="C968" s="248"/>
    </row>
    <row r="969">
      <c r="C969" s="248"/>
    </row>
    <row r="970">
      <c r="C970" s="248"/>
    </row>
    <row r="971">
      <c r="C971" s="248"/>
    </row>
    <row r="972">
      <c r="C972" s="248"/>
    </row>
    <row r="973">
      <c r="C973" s="248"/>
    </row>
    <row r="974">
      <c r="C974" s="248"/>
    </row>
    <row r="975">
      <c r="C975" s="248"/>
    </row>
    <row r="976">
      <c r="C976" s="248"/>
    </row>
    <row r="977">
      <c r="C977" s="248"/>
    </row>
    <row r="978">
      <c r="C978" s="248"/>
    </row>
    <row r="979">
      <c r="C979" s="248"/>
    </row>
    <row r="980">
      <c r="C980" s="248"/>
    </row>
    <row r="981">
      <c r="C981" s="248"/>
    </row>
    <row r="982">
      <c r="C982" s="248"/>
    </row>
    <row r="983">
      <c r="C983" s="248"/>
    </row>
    <row r="984">
      <c r="C984" s="248"/>
    </row>
    <row r="985">
      <c r="C985" s="248"/>
    </row>
    <row r="986">
      <c r="C986" s="248"/>
    </row>
    <row r="987">
      <c r="C987" s="248"/>
    </row>
    <row r="988">
      <c r="C988" s="248"/>
    </row>
    <row r="989">
      <c r="C989" s="248"/>
    </row>
    <row r="990">
      <c r="C990" s="248"/>
    </row>
    <row r="991">
      <c r="C991" s="248"/>
    </row>
    <row r="992">
      <c r="C992" s="248"/>
    </row>
    <row r="993">
      <c r="C993" s="248"/>
    </row>
    <row r="994">
      <c r="C994" s="248"/>
    </row>
    <row r="995">
      <c r="C995" s="248"/>
    </row>
    <row r="996">
      <c r="C996" s="248"/>
    </row>
    <row r="997">
      <c r="C997" s="248"/>
    </row>
    <row r="998">
      <c r="C998" s="248"/>
    </row>
    <row r="999">
      <c r="C999" s="248"/>
    </row>
    <row r="1000">
      <c r="C1000" s="248"/>
    </row>
  </sheetData>
  <mergeCells count="5">
    <mergeCell ref="A7:B7"/>
    <mergeCell ref="A8:B8"/>
    <mergeCell ref="A14:B14"/>
    <mergeCell ref="A26:B26"/>
    <mergeCell ref="A27:B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0"/>
    <col customWidth="1" min="2" max="2" width="9.63"/>
    <col customWidth="1" min="3" max="4" width="10.38"/>
    <col customWidth="1" min="5" max="5" width="11.25"/>
    <col customWidth="1" min="6" max="6" width="11.0"/>
    <col customWidth="1" min="7" max="7" width="14.75"/>
    <col customWidth="1" min="8" max="8" width="68.88"/>
    <col customWidth="1" min="9" max="9" width="78.13"/>
    <col customWidth="1" min="10" max="14" width="14.38"/>
    <col customWidth="1" min="16" max="16" width="13.5"/>
  </cols>
  <sheetData>
    <row r="1">
      <c r="A1" s="62" t="s">
        <v>64</v>
      </c>
      <c r="B1" s="63" t="s">
        <v>65</v>
      </c>
    </row>
    <row r="2">
      <c r="A2" s="45"/>
    </row>
    <row r="3">
      <c r="A3" s="64" t="s">
        <v>66</v>
      </c>
      <c r="B3" s="65" t="s">
        <v>67</v>
      </c>
      <c r="C3" s="65" t="s">
        <v>68</v>
      </c>
    </row>
    <row r="4">
      <c r="A4" s="65" t="s">
        <v>69</v>
      </c>
      <c r="B4" s="27"/>
      <c r="C4" s="65"/>
      <c r="D4" s="17"/>
      <c r="E4" s="17"/>
      <c r="F4" s="17"/>
      <c r="G4" s="17"/>
      <c r="H4" s="10" t="s">
        <v>70</v>
      </c>
    </row>
    <row r="5">
      <c r="A5" s="27" t="s">
        <v>71</v>
      </c>
      <c r="B5" s="66">
        <v>5.0</v>
      </c>
      <c r="C5" s="67"/>
      <c r="D5" s="17"/>
      <c r="E5" s="17"/>
      <c r="F5" s="17"/>
      <c r="G5" s="17"/>
      <c r="H5" s="17"/>
    </row>
    <row r="6">
      <c r="A6" s="27" t="s">
        <v>72</v>
      </c>
      <c r="B6" s="68">
        <f>'Summary M3'!L29</f>
        <v>7183.15</v>
      </c>
      <c r="C6" s="67"/>
      <c r="D6" s="17"/>
      <c r="E6" s="17"/>
      <c r="F6" s="17"/>
      <c r="G6" s="17"/>
      <c r="H6" s="13" t="s">
        <v>73</v>
      </c>
    </row>
    <row r="7">
      <c r="A7" s="27" t="s">
        <v>74</v>
      </c>
      <c r="B7" s="66">
        <v>6.0</v>
      </c>
      <c r="C7" s="67"/>
      <c r="D7" s="17"/>
      <c r="E7" s="17"/>
      <c r="F7" s="17"/>
      <c r="G7" s="17"/>
      <c r="H7" s="17"/>
    </row>
    <row r="8">
      <c r="A8" s="27" t="s">
        <v>75</v>
      </c>
      <c r="B8" s="66">
        <v>5.0</v>
      </c>
      <c r="C8" s="67"/>
      <c r="D8" s="17"/>
      <c r="E8" s="17"/>
      <c r="F8" s="17"/>
      <c r="G8" s="17"/>
      <c r="H8" s="17"/>
    </row>
    <row r="9">
      <c r="A9" s="27" t="s">
        <v>76</v>
      </c>
      <c r="B9" s="69">
        <f>B6/(B5*(30-(7-B7)*4))</f>
        <v>55.255</v>
      </c>
      <c r="C9" s="67"/>
      <c r="D9" s="13" t="s">
        <v>77</v>
      </c>
      <c r="E9" s="13" t="s">
        <v>78</v>
      </c>
      <c r="F9" s="13" t="s">
        <v>79</v>
      </c>
      <c r="G9" s="13" t="s">
        <v>80</v>
      </c>
      <c r="H9" s="17"/>
    </row>
    <row r="10">
      <c r="A10" s="27" t="s">
        <v>81</v>
      </c>
      <c r="B10" s="69">
        <f>B9/B8</f>
        <v>11.051</v>
      </c>
      <c r="C10" s="67"/>
      <c r="D10" s="13">
        <v>96.0</v>
      </c>
      <c r="E10" s="13">
        <v>21.0</v>
      </c>
      <c r="F10" s="13">
        <v>60.0</v>
      </c>
      <c r="G10" s="13">
        <v>79.0</v>
      </c>
      <c r="H10" s="17"/>
    </row>
    <row r="11">
      <c r="A11" s="27"/>
      <c r="B11" s="70"/>
      <c r="C11" s="67"/>
      <c r="D11" s="17"/>
      <c r="E11" s="17"/>
      <c r="F11" s="17"/>
      <c r="G11" s="17"/>
      <c r="H11" s="17"/>
    </row>
    <row r="12">
      <c r="A12" s="65" t="s">
        <v>82</v>
      </c>
      <c r="B12" s="70"/>
      <c r="C12" s="67"/>
      <c r="D12" s="71" t="s">
        <v>83</v>
      </c>
      <c r="E12" s="71" t="s">
        <v>84</v>
      </c>
      <c r="F12" s="71" t="s">
        <v>85</v>
      </c>
      <c r="G12" s="13" t="s">
        <v>86</v>
      </c>
      <c r="H12" s="17"/>
    </row>
    <row r="13">
      <c r="A13" s="27" t="s">
        <v>87</v>
      </c>
      <c r="B13" s="72">
        <f>D13*E13*F13</f>
        <v>1.982179261</v>
      </c>
      <c r="C13" s="67"/>
      <c r="D13" s="73">
        <f t="shared" ref="D13:G13" si="1">D10*2.54/100</f>
        <v>2.4384</v>
      </c>
      <c r="E13" s="74">
        <f t="shared" si="1"/>
        <v>0.5334</v>
      </c>
      <c r="F13" s="74">
        <f t="shared" si="1"/>
        <v>1.524</v>
      </c>
      <c r="G13" s="74">
        <f t="shared" si="1"/>
        <v>2.0066</v>
      </c>
      <c r="H13" s="17"/>
    </row>
    <row r="14">
      <c r="A14" s="75" t="s">
        <v>88</v>
      </c>
      <c r="B14" s="76">
        <f>B9/B13</f>
        <v>27.87588442</v>
      </c>
      <c r="C14" s="67"/>
      <c r="D14" s="73">
        <v>2.44</v>
      </c>
      <c r="E14" s="13">
        <v>0.53</v>
      </c>
      <c r="F14" s="74">
        <v>1.3</v>
      </c>
      <c r="G14" s="13">
        <v>1.64</v>
      </c>
      <c r="H14" s="17">
        <f>D14*E14*F14</f>
        <v>1.68116</v>
      </c>
    </row>
    <row r="15">
      <c r="A15" s="27"/>
      <c r="B15" s="67"/>
      <c r="C15" s="67"/>
      <c r="D15" s="17"/>
      <c r="E15" s="17"/>
      <c r="F15" s="17"/>
      <c r="G15" s="17"/>
      <c r="H15" s="17"/>
    </row>
    <row r="16">
      <c r="A16" s="65" t="s">
        <v>89</v>
      </c>
      <c r="B16" s="67"/>
      <c r="C16" s="67"/>
      <c r="D16" s="17"/>
      <c r="E16" s="17"/>
      <c r="F16" s="17"/>
      <c r="G16" s="17"/>
      <c r="H16" s="17"/>
    </row>
    <row r="17">
      <c r="A17" s="27" t="s">
        <v>90</v>
      </c>
      <c r="B17" s="66">
        <v>25.0</v>
      </c>
      <c r="C17" s="67"/>
      <c r="D17" s="17"/>
      <c r="E17" s="17"/>
      <c r="F17" s="17"/>
      <c r="G17" s="17"/>
      <c r="H17" s="17"/>
    </row>
    <row r="18">
      <c r="A18" s="27" t="s">
        <v>91</v>
      </c>
      <c r="B18" s="69">
        <f>B9*B17/60</f>
        <v>23.02291667</v>
      </c>
      <c r="C18" s="67"/>
      <c r="D18" s="17"/>
      <c r="E18" s="17"/>
      <c r="F18" s="17"/>
      <c r="G18" s="17"/>
      <c r="H18" s="17"/>
    </row>
    <row r="19">
      <c r="A19" s="75" t="s">
        <v>92</v>
      </c>
      <c r="B19" s="76">
        <f>B18/B8</f>
        <v>4.604583333</v>
      </c>
      <c r="C19" s="23"/>
      <c r="D19" s="17"/>
      <c r="E19" s="17"/>
      <c r="F19" s="17"/>
      <c r="G19" s="17"/>
      <c r="H19" s="17"/>
    </row>
    <row r="20">
      <c r="A20" s="27" t="s">
        <v>93</v>
      </c>
      <c r="B20" s="76">
        <f>B8*60/(B14)</f>
        <v>10.76199038</v>
      </c>
      <c r="C20" s="67"/>
      <c r="D20" s="17"/>
      <c r="E20" s="17"/>
      <c r="F20" s="17"/>
      <c r="G20" s="17"/>
      <c r="H20" s="17"/>
    </row>
    <row r="21">
      <c r="A21" s="27"/>
      <c r="B21" s="27"/>
      <c r="C21" s="67"/>
      <c r="D21" s="17"/>
      <c r="E21" s="17"/>
      <c r="F21" s="17"/>
      <c r="G21" s="17"/>
      <c r="H21" s="17"/>
    </row>
    <row r="22">
      <c r="A22" s="65" t="s">
        <v>94</v>
      </c>
      <c r="B22" s="66"/>
      <c r="C22" s="67"/>
      <c r="D22" s="17"/>
      <c r="E22" s="17"/>
      <c r="F22" s="17"/>
      <c r="G22" s="17"/>
      <c r="H22" s="17"/>
    </row>
    <row r="23">
      <c r="A23" s="27" t="s">
        <v>95</v>
      </c>
      <c r="B23" s="66">
        <v>3.0</v>
      </c>
      <c r="C23" s="67"/>
      <c r="D23" s="17"/>
      <c r="E23" s="17"/>
      <c r="F23" s="17"/>
      <c r="G23" s="17"/>
      <c r="H23" s="17"/>
    </row>
    <row r="24">
      <c r="A24" s="27" t="s">
        <v>96</v>
      </c>
      <c r="B24" s="66">
        <v>300.0</v>
      </c>
      <c r="C24" s="67"/>
      <c r="D24" s="17"/>
      <c r="E24" s="17"/>
      <c r="F24" s="17"/>
      <c r="G24" s="17"/>
      <c r="H24" s="17"/>
    </row>
    <row r="25">
      <c r="A25" s="27" t="s">
        <v>97</v>
      </c>
      <c r="B25" s="76">
        <f>60*B24/(B23*1000)</f>
        <v>6</v>
      </c>
      <c r="C25" s="67"/>
      <c r="D25" s="17"/>
      <c r="E25" s="17"/>
      <c r="F25" s="17"/>
      <c r="G25" s="17"/>
      <c r="H25" s="17"/>
    </row>
    <row r="26">
      <c r="A26" s="27" t="s">
        <v>98</v>
      </c>
      <c r="B26" s="77">
        <f>B20</f>
        <v>10.76199038</v>
      </c>
      <c r="C26" s="67"/>
      <c r="D26" s="17"/>
      <c r="E26" s="17"/>
      <c r="F26" s="17"/>
      <c r="G26" s="17"/>
      <c r="H26" s="17"/>
    </row>
    <row r="27">
      <c r="A27" s="27" t="s">
        <v>99</v>
      </c>
      <c r="B27" s="76">
        <f>60*B24/(B23*1000)</f>
        <v>6</v>
      </c>
      <c r="C27" s="67"/>
      <c r="D27" s="17"/>
      <c r="E27" s="17"/>
      <c r="F27" s="17"/>
      <c r="G27" s="17"/>
      <c r="H27" s="17"/>
    </row>
    <row r="28">
      <c r="A28" s="27" t="s">
        <v>100</v>
      </c>
      <c r="B28" s="76">
        <f>B25+B26+B27</f>
        <v>22.76199038</v>
      </c>
      <c r="C28" s="67"/>
      <c r="D28" s="17"/>
      <c r="E28" s="17"/>
      <c r="F28" s="17"/>
      <c r="G28" s="17"/>
      <c r="H28" s="17"/>
    </row>
    <row r="29">
      <c r="A29" s="27" t="s">
        <v>101</v>
      </c>
      <c r="B29" s="76">
        <f>B14*B28/60</f>
        <v>10.57517688</v>
      </c>
      <c r="C29" s="67"/>
      <c r="D29" s="17"/>
      <c r="E29" s="17"/>
      <c r="F29" s="17"/>
      <c r="G29" s="17"/>
      <c r="H29" s="17"/>
    </row>
    <row r="30">
      <c r="A30" s="75" t="s">
        <v>102</v>
      </c>
      <c r="B30" s="76">
        <f>B29/B8</f>
        <v>2.115035377</v>
      </c>
      <c r="C30" s="67"/>
      <c r="D30" s="17"/>
      <c r="E30" s="17"/>
      <c r="F30" s="17"/>
      <c r="G30" s="17"/>
      <c r="H30" s="17"/>
    </row>
    <row r="31">
      <c r="A31" s="75" t="s">
        <v>103</v>
      </c>
      <c r="B31" s="76">
        <f>B30</f>
        <v>2.115035377</v>
      </c>
      <c r="C31" s="23"/>
      <c r="D31" s="17"/>
      <c r="E31" s="17"/>
      <c r="F31" s="17"/>
      <c r="G31" s="17"/>
      <c r="H31" s="17"/>
    </row>
    <row r="32">
      <c r="A32" s="75" t="s">
        <v>104</v>
      </c>
      <c r="B32" s="66">
        <v>1.0</v>
      </c>
      <c r="C32" s="23"/>
      <c r="D32" s="17"/>
      <c r="E32" s="13" t="s">
        <v>105</v>
      </c>
      <c r="F32" s="17"/>
      <c r="G32" s="17"/>
      <c r="H32" s="17"/>
    </row>
    <row r="33">
      <c r="A33" s="30"/>
      <c r="B33" s="30"/>
      <c r="C33" s="67"/>
      <c r="D33" s="17"/>
      <c r="E33" s="17"/>
      <c r="F33" s="17"/>
      <c r="G33" s="17"/>
      <c r="H33" s="17"/>
    </row>
    <row r="34">
      <c r="A34" s="65" t="s">
        <v>106</v>
      </c>
      <c r="B34" s="30"/>
      <c r="C34" s="67"/>
      <c r="D34" s="13" t="s">
        <v>107</v>
      </c>
      <c r="E34" s="13" t="s">
        <v>2</v>
      </c>
      <c r="F34" s="13" t="s">
        <v>2</v>
      </c>
      <c r="G34" s="17"/>
      <c r="H34" s="17"/>
    </row>
    <row r="35">
      <c r="A35" s="27" t="s">
        <v>108</v>
      </c>
      <c r="B35" s="27">
        <f>if(D34="high", D35,E35)</f>
        <v>40</v>
      </c>
      <c r="C35" s="67"/>
      <c r="D35" s="13">
        <v>30.0</v>
      </c>
      <c r="E35" s="13">
        <v>40.0</v>
      </c>
      <c r="F35" s="13" t="s">
        <v>2</v>
      </c>
      <c r="G35" s="17"/>
      <c r="H35" s="17"/>
    </row>
    <row r="36">
      <c r="A36" s="27" t="s">
        <v>109</v>
      </c>
      <c r="B36" s="78">
        <f>$B$9/B35</f>
        <v>1.381375</v>
      </c>
      <c r="C36" s="23">
        <f>if(D34="high",D36,E36)</f>
        <v>0</v>
      </c>
      <c r="D36" s="13">
        <v>7600.0</v>
      </c>
      <c r="E36" s="13">
        <v>0.0</v>
      </c>
      <c r="F36" s="17"/>
      <c r="G36" s="17"/>
      <c r="H36" s="17"/>
    </row>
    <row r="37">
      <c r="A37" s="27" t="s">
        <v>110</v>
      </c>
      <c r="B37" s="31">
        <f>$B$6/B35</f>
        <v>179.57875</v>
      </c>
      <c r="C37" s="67"/>
      <c r="D37" s="17"/>
      <c r="E37" s="17"/>
      <c r="F37" s="17"/>
      <c r="G37" s="17"/>
      <c r="H37" s="17"/>
    </row>
    <row r="38">
      <c r="A38" s="79"/>
      <c r="B38" s="79"/>
    </row>
    <row r="40">
      <c r="A40" s="80" t="s">
        <v>111</v>
      </c>
      <c r="F40" s="6" t="s">
        <v>2</v>
      </c>
      <c r="G40" s="6">
        <v>18.5</v>
      </c>
      <c r="H40" s="2"/>
      <c r="I40" s="2"/>
      <c r="J40" s="2"/>
      <c r="K40" s="2"/>
      <c r="L40" s="2"/>
      <c r="M40" s="2"/>
      <c r="N40" s="2"/>
      <c r="O40" s="2"/>
    </row>
    <row r="41">
      <c r="A41" s="10" t="s">
        <v>112</v>
      </c>
      <c r="B41" s="10" t="s">
        <v>113</v>
      </c>
      <c r="C41" s="10" t="s">
        <v>114</v>
      </c>
      <c r="D41" s="10" t="s">
        <v>115</v>
      </c>
      <c r="E41" s="10" t="s">
        <v>116</v>
      </c>
      <c r="F41" s="10" t="s">
        <v>117</v>
      </c>
      <c r="G41" s="10" t="s">
        <v>118</v>
      </c>
      <c r="H41" s="10" t="s">
        <v>70</v>
      </c>
    </row>
    <row r="42">
      <c r="A42" s="81" t="s">
        <v>119</v>
      </c>
      <c r="B42" s="67"/>
      <c r="C42" s="23">
        <f>15000*1.16</f>
        <v>17400</v>
      </c>
      <c r="D42" s="23">
        <v>1.0</v>
      </c>
      <c r="E42" s="67">
        <f t="shared" ref="E42:E45" si="2">C42*D42</f>
        <v>17400</v>
      </c>
      <c r="F42" s="67">
        <f t="shared" ref="F42:F45" si="3">E42*$B$5</f>
        <v>87000</v>
      </c>
      <c r="G42" s="67">
        <f t="shared" ref="G42:G53" si="4">F42/$G$40</f>
        <v>4702.702703</v>
      </c>
      <c r="H42" s="82"/>
    </row>
    <row r="43">
      <c r="A43" s="81" t="s">
        <v>89</v>
      </c>
      <c r="B43" s="67"/>
      <c r="C43" s="23">
        <f>C19*1.16*1.18*1.15</f>
        <v>0</v>
      </c>
      <c r="D43" s="23">
        <v>4.0</v>
      </c>
      <c r="E43" s="67">
        <f t="shared" si="2"/>
        <v>0</v>
      </c>
      <c r="F43" s="67">
        <f t="shared" si="3"/>
        <v>0</v>
      </c>
      <c r="G43" s="67">
        <f t="shared" si="4"/>
        <v>0</v>
      </c>
      <c r="H43" s="82" t="s">
        <v>120</v>
      </c>
      <c r="I43" s="83" t="s">
        <v>121</v>
      </c>
    </row>
    <row r="44">
      <c r="A44" s="81" t="s">
        <v>122</v>
      </c>
      <c r="B44" s="67"/>
      <c r="C44" s="23">
        <f>C19*1.16*1.18*1.15</f>
        <v>0</v>
      </c>
      <c r="D44" s="23">
        <v>1.0</v>
      </c>
      <c r="E44" s="67">
        <f t="shared" si="2"/>
        <v>0</v>
      </c>
      <c r="F44" s="67">
        <f t="shared" si="3"/>
        <v>0</v>
      </c>
      <c r="G44" s="67">
        <f t="shared" si="4"/>
        <v>0</v>
      </c>
      <c r="H44" s="82"/>
      <c r="I44" s="83" t="s">
        <v>123</v>
      </c>
    </row>
    <row r="45">
      <c r="A45" s="81" t="s">
        <v>124</v>
      </c>
      <c r="B45" s="23"/>
      <c r="C45" s="23">
        <f>(C31+3000)*1.16</f>
        <v>3480</v>
      </c>
      <c r="D45" s="23">
        <f>roundup(B32,0)</f>
        <v>1</v>
      </c>
      <c r="E45" s="67">
        <f t="shared" si="2"/>
        <v>3480</v>
      </c>
      <c r="F45" s="67">
        <f t="shared" si="3"/>
        <v>17400</v>
      </c>
      <c r="G45" s="67">
        <f t="shared" si="4"/>
        <v>940.5405405</v>
      </c>
      <c r="H45" s="82" t="s">
        <v>125</v>
      </c>
      <c r="I45" s="83" t="s">
        <v>126</v>
      </c>
    </row>
    <row r="46">
      <c r="A46" s="81" t="s">
        <v>127</v>
      </c>
      <c r="B46" s="23">
        <v>2400.0</v>
      </c>
      <c r="C46" s="23"/>
      <c r="D46" s="23">
        <f>B5*B10*30</f>
        <v>1657.65</v>
      </c>
      <c r="E46" s="67"/>
      <c r="F46" s="67">
        <f>B46*D46</f>
        <v>3978360</v>
      </c>
      <c r="G46" s="67">
        <f t="shared" si="4"/>
        <v>215046.4865</v>
      </c>
      <c r="H46" s="82"/>
    </row>
    <row r="47">
      <c r="A47" s="81" t="s">
        <v>128</v>
      </c>
      <c r="B47" s="23">
        <f>100*sum(D42:D45)</f>
        <v>700</v>
      </c>
      <c r="C47" s="23"/>
      <c r="D47" s="23">
        <f t="shared" ref="D47:D49" si="5">$B$7*4</f>
        <v>24</v>
      </c>
      <c r="E47" s="67">
        <f t="shared" ref="E47:E49" si="6">B47*D47</f>
        <v>16800</v>
      </c>
      <c r="F47" s="67">
        <f t="shared" ref="F47:F52" si="7">E47*$B$5</f>
        <v>84000</v>
      </c>
      <c r="G47" s="67">
        <f t="shared" si="4"/>
        <v>4540.540541</v>
      </c>
      <c r="H47" s="82"/>
    </row>
    <row r="48">
      <c r="A48" s="81" t="s">
        <v>129</v>
      </c>
      <c r="B48" s="23">
        <v>500.0</v>
      </c>
      <c r="C48" s="67"/>
      <c r="D48" s="23">
        <f t="shared" si="5"/>
        <v>24</v>
      </c>
      <c r="E48" s="67">
        <f t="shared" si="6"/>
        <v>12000</v>
      </c>
      <c r="F48" s="67">
        <f t="shared" si="7"/>
        <v>60000</v>
      </c>
      <c r="G48" s="67">
        <f t="shared" si="4"/>
        <v>3243.243243</v>
      </c>
      <c r="H48" s="82"/>
    </row>
    <row r="49">
      <c r="A49" s="81" t="s">
        <v>130</v>
      </c>
      <c r="B49" s="67">
        <f>AVERAGE(D36:E36)</f>
        <v>3800</v>
      </c>
      <c r="C49" s="23"/>
      <c r="D49" s="23">
        <f t="shared" si="5"/>
        <v>24</v>
      </c>
      <c r="E49" s="67">
        <f t="shared" si="6"/>
        <v>91200</v>
      </c>
      <c r="F49" s="67">
        <f t="shared" si="7"/>
        <v>456000</v>
      </c>
      <c r="G49" s="67">
        <f t="shared" si="4"/>
        <v>24648.64865</v>
      </c>
      <c r="H49" s="82" t="s">
        <v>131</v>
      </c>
      <c r="I49" s="84" t="s">
        <v>132</v>
      </c>
    </row>
    <row r="50">
      <c r="A50" s="81" t="s">
        <v>133</v>
      </c>
      <c r="B50" s="67"/>
      <c r="C50" s="23">
        <f>sum(D42:D45)*1000</f>
        <v>7000</v>
      </c>
      <c r="D50" s="67"/>
      <c r="E50" s="67">
        <f t="shared" ref="E50:E52" si="8">C50</f>
        <v>7000</v>
      </c>
      <c r="F50" s="67">
        <f t="shared" si="7"/>
        <v>35000</v>
      </c>
      <c r="G50" s="67">
        <f t="shared" si="4"/>
        <v>1891.891892</v>
      </c>
      <c r="H50" s="82"/>
    </row>
    <row r="51">
      <c r="A51" s="81" t="s">
        <v>134</v>
      </c>
      <c r="B51" s="67"/>
      <c r="C51" s="23">
        <v>10000.0</v>
      </c>
      <c r="D51" s="23">
        <v>1.0</v>
      </c>
      <c r="E51" s="67">
        <f t="shared" si="8"/>
        <v>10000</v>
      </c>
      <c r="F51" s="67">
        <f t="shared" si="7"/>
        <v>50000</v>
      </c>
      <c r="G51" s="67">
        <f t="shared" si="4"/>
        <v>2702.702703</v>
      </c>
      <c r="H51" s="82" t="s">
        <v>135</v>
      </c>
      <c r="I51" s="83" t="s">
        <v>136</v>
      </c>
    </row>
    <row r="52">
      <c r="A52" s="28" t="s">
        <v>137</v>
      </c>
      <c r="B52" s="30"/>
      <c r="C52" s="27">
        <v>40000.0</v>
      </c>
      <c r="D52" s="27">
        <v>1.0</v>
      </c>
      <c r="E52" s="67">
        <f t="shared" si="8"/>
        <v>40000</v>
      </c>
      <c r="F52" s="67">
        <f t="shared" si="7"/>
        <v>200000</v>
      </c>
      <c r="G52" s="67">
        <f t="shared" si="4"/>
        <v>10810.81081</v>
      </c>
      <c r="H52" s="85"/>
    </row>
    <row r="53">
      <c r="A53" s="10" t="s">
        <v>49</v>
      </c>
      <c r="B53" s="70"/>
      <c r="C53" s="70"/>
      <c r="D53" s="70"/>
      <c r="E53" s="86">
        <f>SUM(E41:E51)</f>
        <v>157880</v>
      </c>
      <c r="F53" s="86">
        <f>SUM(F42:F52)</f>
        <v>4967760</v>
      </c>
      <c r="G53" s="87">
        <f t="shared" si="4"/>
        <v>268527.5676</v>
      </c>
      <c r="H53" s="82"/>
    </row>
    <row r="54">
      <c r="A54" s="28" t="s">
        <v>138</v>
      </c>
      <c r="B54" s="30"/>
      <c r="C54" s="30"/>
      <c r="D54" s="30"/>
      <c r="E54" s="30"/>
      <c r="F54" s="68">
        <f t="shared" ref="F54:G54" si="9">-F53*0.2</f>
        <v>-993552</v>
      </c>
      <c r="G54" s="88">
        <f t="shared" si="9"/>
        <v>-53705.51351</v>
      </c>
      <c r="H54" s="83"/>
    </row>
    <row r="55">
      <c r="A55" s="28" t="s">
        <v>139</v>
      </c>
      <c r="B55" s="30"/>
      <c r="C55" s="30"/>
      <c r="D55" s="30"/>
      <c r="E55" s="30"/>
      <c r="F55" s="89">
        <f t="shared" ref="F55:G55" si="10">F53+F54</f>
        <v>3974208</v>
      </c>
      <c r="G55" s="26">
        <f t="shared" si="10"/>
        <v>214822.0541</v>
      </c>
      <c r="H55" s="83"/>
    </row>
    <row r="56">
      <c r="A56" s="90"/>
    </row>
    <row r="57">
      <c r="A57" s="90"/>
    </row>
    <row r="58">
      <c r="A58" s="10" t="s">
        <v>140</v>
      </c>
      <c r="B58" s="30"/>
      <c r="C58" s="30"/>
      <c r="D58" s="30"/>
      <c r="E58" s="30"/>
      <c r="F58" s="30"/>
      <c r="G58" s="30"/>
    </row>
    <row r="59">
      <c r="A59" s="27" t="s">
        <v>141</v>
      </c>
      <c r="B59" s="30"/>
      <c r="C59" s="23">
        <f>C36</f>
        <v>0</v>
      </c>
      <c r="D59" s="27">
        <v>2.0</v>
      </c>
      <c r="E59" s="67">
        <f>C59*D59</f>
        <v>0</v>
      </c>
      <c r="F59" s="67">
        <f>E59*B5</f>
        <v>0</v>
      </c>
      <c r="G59" s="25">
        <f>F59/18</f>
        <v>0</v>
      </c>
    </row>
    <row r="62">
      <c r="A62" s="10" t="s">
        <v>142</v>
      </c>
      <c r="B62" s="10" t="s">
        <v>143</v>
      </c>
      <c r="C62" s="91"/>
      <c r="D62" s="10" t="s">
        <v>115</v>
      </c>
      <c r="E62" s="10" t="s">
        <v>144</v>
      </c>
      <c r="F62" s="10" t="s">
        <v>118</v>
      </c>
    </row>
    <row r="63">
      <c r="A63" s="27" t="s">
        <v>145</v>
      </c>
      <c r="B63" s="27">
        <v>100000.0</v>
      </c>
      <c r="C63" s="30"/>
      <c r="D63" s="27">
        <v>2.0</v>
      </c>
      <c r="E63" s="67">
        <f t="shared" ref="E63:E65" si="11">B63*D63</f>
        <v>200000</v>
      </c>
      <c r="F63" s="25">
        <f t="shared" ref="F63:F64" si="12">E63/17.3</f>
        <v>11560.69364</v>
      </c>
    </row>
    <row r="64">
      <c r="A64" s="27" t="s">
        <v>146</v>
      </c>
      <c r="B64" s="27">
        <v>20000.0</v>
      </c>
      <c r="C64" s="30"/>
      <c r="D64" s="27">
        <v>4.0</v>
      </c>
      <c r="E64" s="67">
        <f t="shared" si="11"/>
        <v>80000</v>
      </c>
      <c r="F64" s="25">
        <f t="shared" si="12"/>
        <v>4624.277457</v>
      </c>
    </row>
    <row r="65">
      <c r="A65" s="27" t="s">
        <v>147</v>
      </c>
      <c r="B65" s="27">
        <v>100000.0</v>
      </c>
      <c r="C65" s="30"/>
      <c r="D65" s="27">
        <v>1.0</v>
      </c>
      <c r="E65" s="67">
        <f t="shared" si="11"/>
        <v>100000</v>
      </c>
      <c r="F65" s="25">
        <f t="shared" ref="F65:F66" si="13">E65/18</f>
        <v>5555.555556</v>
      </c>
    </row>
    <row r="66">
      <c r="A66" s="65" t="s">
        <v>49</v>
      </c>
      <c r="B66" s="70"/>
      <c r="C66" s="17"/>
      <c r="D66" s="70"/>
      <c r="E66" s="68">
        <f>sum(E63:E65)</f>
        <v>380000</v>
      </c>
      <c r="F66" s="88">
        <f t="shared" si="13"/>
        <v>21111.11111</v>
      </c>
    </row>
    <row r="68">
      <c r="E68" s="92">
        <f>E53+E53*(0.18)+E53*0.16 + E53*0.15 + E53*0.1</f>
        <v>251029.2</v>
      </c>
      <c r="F68" s="92">
        <f>F53*1.18*1.16*1.15*1.1</f>
        <v>8601835.408</v>
      </c>
      <c r="G68" s="25">
        <f>F68/18</f>
        <v>477879.7449</v>
      </c>
      <c r="H68" s="93" t="s">
        <v>148</v>
      </c>
    </row>
    <row r="69">
      <c r="H69" s="93" t="s">
        <v>149</v>
      </c>
    </row>
    <row r="71">
      <c r="A71" s="94" t="s">
        <v>150</v>
      </c>
      <c r="D71" s="95" t="s">
        <v>151</v>
      </c>
      <c r="F71" s="6">
        <v>4.0</v>
      </c>
      <c r="G71" s="93" t="s">
        <v>152</v>
      </c>
      <c r="H71" s="54"/>
      <c r="I71" s="54"/>
      <c r="J71" s="54"/>
      <c r="K71" s="54"/>
      <c r="L71" s="54"/>
      <c r="M71" s="54"/>
      <c r="N71" s="54"/>
      <c r="O71" s="52"/>
      <c r="P71" s="2"/>
      <c r="Q71" s="2" t="s">
        <v>153</v>
      </c>
      <c r="R71" s="2" t="s">
        <v>154</v>
      </c>
      <c r="S71" s="2" t="s">
        <v>155</v>
      </c>
      <c r="T71" s="2" t="s">
        <v>156</v>
      </c>
      <c r="U71" s="2" t="s">
        <v>157</v>
      </c>
      <c r="V71" s="2" t="s">
        <v>158</v>
      </c>
    </row>
    <row r="72">
      <c r="A72" s="10" t="s">
        <v>112</v>
      </c>
      <c r="B72" s="65" t="s">
        <v>113</v>
      </c>
      <c r="C72" s="65" t="s">
        <v>114</v>
      </c>
      <c r="D72" s="65" t="s">
        <v>115</v>
      </c>
      <c r="E72" s="65" t="s">
        <v>116</v>
      </c>
      <c r="F72" s="65" t="s">
        <v>159</v>
      </c>
      <c r="G72" s="96"/>
      <c r="H72" s="97" t="s">
        <v>160</v>
      </c>
      <c r="I72" s="93" t="s">
        <v>161</v>
      </c>
      <c r="J72" s="55"/>
      <c r="K72" s="55"/>
      <c r="L72" s="55"/>
      <c r="M72" s="55"/>
      <c r="N72" s="55"/>
      <c r="Q72" s="21">
        <f>20*0.5*1.5</f>
        <v>15</v>
      </c>
      <c r="R72" s="98">
        <f>Q72/4</f>
        <v>3.75</v>
      </c>
      <c r="S72" s="21">
        <f>2*R72</f>
        <v>7.5</v>
      </c>
      <c r="T72" s="6">
        <v>5.0</v>
      </c>
      <c r="U72" s="98">
        <f>R72*17</f>
        <v>63.75</v>
      </c>
      <c r="V72" s="21">
        <f>T72*17</f>
        <v>85</v>
      </c>
      <c r="W72" s="95" t="s">
        <v>162</v>
      </c>
    </row>
    <row r="73">
      <c r="A73" s="99" t="s">
        <v>119</v>
      </c>
      <c r="B73" s="17"/>
      <c r="C73" s="13">
        <f>20000*1.16</f>
        <v>23200</v>
      </c>
      <c r="D73" s="13">
        <v>1.0</v>
      </c>
      <c r="E73" s="17">
        <f t="shared" ref="E73:E78" si="14">C73*D73</f>
        <v>23200</v>
      </c>
      <c r="F73" s="17">
        <f t="shared" ref="F73:F75" si="15">E73*$F$71</f>
        <v>92800</v>
      </c>
      <c r="G73" s="93" t="s">
        <v>163</v>
      </c>
      <c r="H73" s="100"/>
      <c r="I73" s="93" t="s">
        <v>164</v>
      </c>
      <c r="J73" s="55"/>
      <c r="K73" s="55"/>
      <c r="L73" s="55"/>
      <c r="M73" s="55"/>
      <c r="N73" s="55"/>
    </row>
    <row r="74">
      <c r="A74" s="99" t="s">
        <v>165</v>
      </c>
      <c r="B74" s="17"/>
      <c r="C74" s="13">
        <f>500*24</f>
        <v>12000</v>
      </c>
      <c r="D74" s="13">
        <v>3.0</v>
      </c>
      <c r="E74" s="17">
        <f t="shared" si="14"/>
        <v>36000</v>
      </c>
      <c r="F74" s="17">
        <f t="shared" si="15"/>
        <v>144000</v>
      </c>
      <c r="G74" s="93" t="s">
        <v>166</v>
      </c>
      <c r="H74" s="6"/>
      <c r="I74" s="6"/>
      <c r="J74" s="6"/>
      <c r="K74" s="6"/>
      <c r="L74" s="6"/>
      <c r="M74" s="6"/>
      <c r="N74" s="6" t="s">
        <v>167</v>
      </c>
      <c r="R74" s="21">
        <f>R72*T72</f>
        <v>18.75</v>
      </c>
      <c r="S74" s="21">
        <f>2*R74</f>
        <v>37.5</v>
      </c>
      <c r="T74" s="95" t="s">
        <v>168</v>
      </c>
    </row>
    <row r="75">
      <c r="A75" s="99" t="s">
        <v>169</v>
      </c>
      <c r="B75" s="17"/>
      <c r="C75" s="13">
        <f>650*24</f>
        <v>15600</v>
      </c>
      <c r="D75" s="13">
        <v>2.0</v>
      </c>
      <c r="E75" s="17">
        <f t="shared" si="14"/>
        <v>31200</v>
      </c>
      <c r="F75" s="17">
        <f t="shared" si="15"/>
        <v>124800</v>
      </c>
      <c r="G75" s="93" t="s">
        <v>166</v>
      </c>
      <c r="H75" s="6"/>
      <c r="I75" s="6"/>
      <c r="J75" s="6"/>
      <c r="K75" s="6"/>
      <c r="L75" s="6"/>
      <c r="M75" s="6"/>
      <c r="N75" s="6"/>
      <c r="T75" s="95"/>
    </row>
    <row r="76">
      <c r="A76" s="99" t="s">
        <v>170</v>
      </c>
      <c r="B76" s="17"/>
      <c r="C76" s="13">
        <v>5000.0</v>
      </c>
      <c r="D76" s="13">
        <v>2.0</v>
      </c>
      <c r="E76" s="17">
        <f t="shared" si="14"/>
        <v>10000</v>
      </c>
      <c r="F76" s="17">
        <f t="shared" ref="F76:F77" si="17">E76</f>
        <v>10000</v>
      </c>
      <c r="G76" s="93" t="s">
        <v>171</v>
      </c>
      <c r="H76" s="6"/>
      <c r="I76" s="6"/>
      <c r="J76" s="6"/>
      <c r="K76" s="6"/>
      <c r="L76" s="6"/>
      <c r="M76" s="6"/>
      <c r="N76" s="6" t="s">
        <v>172</v>
      </c>
      <c r="R76" s="98">
        <f t="shared" ref="R76:S76" si="16">R72/2</f>
        <v>1.875</v>
      </c>
      <c r="S76" s="98">
        <f t="shared" si="16"/>
        <v>3.75</v>
      </c>
      <c r="U76" s="98">
        <f>U72/2</f>
        <v>31.875</v>
      </c>
      <c r="V76" s="98">
        <f>V72/2-17</f>
        <v>25.5</v>
      </c>
      <c r="W76" s="95" t="s">
        <v>173</v>
      </c>
    </row>
    <row r="77">
      <c r="A77" s="99" t="s">
        <v>174</v>
      </c>
      <c r="B77" s="17"/>
      <c r="C77" s="13">
        <v>7000.0</v>
      </c>
      <c r="D77" s="13">
        <f>D73+D74+D75</f>
        <v>6</v>
      </c>
      <c r="E77" s="17">
        <f t="shared" si="14"/>
        <v>42000</v>
      </c>
      <c r="F77" s="17">
        <f t="shared" si="17"/>
        <v>42000</v>
      </c>
      <c r="G77" s="93" t="s">
        <v>175</v>
      </c>
      <c r="H77" s="6"/>
      <c r="I77" s="6"/>
      <c r="J77" s="6"/>
      <c r="K77" s="6"/>
      <c r="L77" s="6"/>
      <c r="M77" s="6"/>
      <c r="N77" s="101" t="s">
        <v>176</v>
      </c>
      <c r="O77" s="6" t="s">
        <v>177</v>
      </c>
    </row>
    <row r="78">
      <c r="A78" s="99" t="s">
        <v>128</v>
      </c>
      <c r="B78" s="13">
        <v>100.0</v>
      </c>
      <c r="C78" s="13">
        <f>B78*24</f>
        <v>2400</v>
      </c>
      <c r="D78" s="13">
        <f>D73+D74+D75</f>
        <v>6</v>
      </c>
      <c r="E78" s="17">
        <f t="shared" si="14"/>
        <v>14400</v>
      </c>
      <c r="F78" s="17">
        <f t="shared" ref="F78:F81" si="18">E78*$F$71</f>
        <v>57600</v>
      </c>
      <c r="G78" s="93" t="s">
        <v>178</v>
      </c>
      <c r="H78" s="6"/>
      <c r="I78" s="6"/>
      <c r="J78" s="6"/>
      <c r="K78" s="6"/>
      <c r="L78" s="6"/>
      <c r="M78" s="6"/>
      <c r="N78" s="45"/>
      <c r="O78" s="6" t="s">
        <v>179</v>
      </c>
    </row>
    <row r="79">
      <c r="A79" s="102" t="s">
        <v>180</v>
      </c>
      <c r="B79" s="103">
        <v>0.0</v>
      </c>
      <c r="C79" s="104"/>
      <c r="D79" s="103">
        <v>24.0</v>
      </c>
      <c r="E79" s="104">
        <f>B79*D79</f>
        <v>0</v>
      </c>
      <c r="F79" s="104">
        <f t="shared" si="18"/>
        <v>0</v>
      </c>
      <c r="G79" s="105"/>
      <c r="H79" s="106"/>
      <c r="I79" s="106"/>
      <c r="J79" s="6"/>
      <c r="K79" s="6"/>
      <c r="L79" s="6"/>
      <c r="M79" s="6"/>
    </row>
    <row r="80">
      <c r="A80" s="102" t="s">
        <v>181</v>
      </c>
      <c r="B80" s="107">
        <f>2350</f>
        <v>2350</v>
      </c>
      <c r="C80" s="108">
        <f>B80*24</f>
        <v>56400</v>
      </c>
      <c r="D80" s="103">
        <v>1.0</v>
      </c>
      <c r="E80" s="107">
        <f t="shared" ref="E80:E81" si="19">C80*D80</f>
        <v>56400</v>
      </c>
      <c r="F80" s="107">
        <f t="shared" si="18"/>
        <v>225600</v>
      </c>
      <c r="G80" s="105" t="s">
        <v>182</v>
      </c>
      <c r="H80" s="109"/>
      <c r="I80" s="109"/>
      <c r="J80" s="109"/>
      <c r="K80" s="109"/>
      <c r="L80" s="109"/>
      <c r="M80" s="109"/>
      <c r="N80" s="110"/>
      <c r="O80" s="110"/>
    </row>
    <row r="81">
      <c r="A81" s="99" t="s">
        <v>183</v>
      </c>
      <c r="B81" s="17"/>
      <c r="C81" s="13">
        <v>10000.0</v>
      </c>
      <c r="D81" s="13">
        <v>0.0</v>
      </c>
      <c r="E81" s="17">
        <f t="shared" si="19"/>
        <v>0</v>
      </c>
      <c r="F81" s="17">
        <f t="shared" si="18"/>
        <v>0</v>
      </c>
      <c r="G81" s="96"/>
      <c r="H81" s="101"/>
      <c r="I81" s="101"/>
      <c r="J81" s="101"/>
      <c r="K81" s="101"/>
      <c r="L81" s="101"/>
      <c r="M81" s="101"/>
    </row>
    <row r="82">
      <c r="A82" s="10" t="s">
        <v>49</v>
      </c>
      <c r="B82" s="70"/>
      <c r="C82" s="70"/>
      <c r="D82" s="70"/>
      <c r="E82" s="68">
        <f t="shared" ref="E82:F82" si="20">SUM(E73:E81)</f>
        <v>213200</v>
      </c>
      <c r="F82" s="68">
        <f t="shared" si="20"/>
        <v>696800</v>
      </c>
      <c r="H82" s="45"/>
      <c r="I82" s="45"/>
      <c r="J82" s="45"/>
      <c r="K82" s="45"/>
      <c r="L82" s="45"/>
      <c r="M82" s="45"/>
    </row>
    <row r="83">
      <c r="A83" s="45"/>
      <c r="E83" s="92">
        <f t="shared" ref="E83:F83" si="21">E82*1.18*1.16*1.15*1.1</f>
        <v>369162.6224</v>
      </c>
      <c r="F83" s="92">
        <f t="shared" si="21"/>
        <v>1206531.498</v>
      </c>
      <c r="G83" s="93" t="s">
        <v>148</v>
      </c>
    </row>
    <row r="84">
      <c r="A84" s="45"/>
      <c r="E84" s="68">
        <f>E83/17</f>
        <v>21715.44838</v>
      </c>
      <c r="G84" s="93" t="s">
        <v>184</v>
      </c>
    </row>
    <row r="85">
      <c r="A85" s="45"/>
    </row>
    <row r="86">
      <c r="A86" s="94" t="s">
        <v>185</v>
      </c>
    </row>
    <row r="87">
      <c r="A87" s="10" t="s">
        <v>186</v>
      </c>
      <c r="B87" s="65" t="s">
        <v>187</v>
      </c>
      <c r="C87" s="65" t="s">
        <v>188</v>
      </c>
      <c r="D87" s="65" t="s">
        <v>189</v>
      </c>
      <c r="E87" s="111" t="s">
        <v>70</v>
      </c>
      <c r="F87" s="112"/>
      <c r="G87" s="112"/>
      <c r="H87" s="112"/>
      <c r="I87" s="112"/>
      <c r="J87" s="112"/>
      <c r="K87" s="112"/>
      <c r="L87" s="112"/>
      <c r="M87" s="112"/>
      <c r="N87" s="113"/>
      <c r="O87" s="111" t="s">
        <v>190</v>
      </c>
      <c r="P87" s="112"/>
      <c r="Q87" s="113"/>
    </row>
    <row r="88">
      <c r="A88" s="28" t="s">
        <v>191</v>
      </c>
      <c r="B88" s="27">
        <v>100000.0</v>
      </c>
      <c r="C88" s="27">
        <v>2.0</v>
      </c>
      <c r="D88" s="27">
        <f t="shared" ref="D88:D89" si="22">B88*C88</f>
        <v>200000</v>
      </c>
      <c r="E88" s="114" t="s">
        <v>192</v>
      </c>
      <c r="F88" s="112"/>
      <c r="G88" s="112"/>
      <c r="H88" s="112"/>
      <c r="I88" s="112"/>
      <c r="J88" s="112"/>
      <c r="K88" s="112"/>
      <c r="L88" s="112"/>
      <c r="M88" s="112"/>
      <c r="N88" s="113"/>
      <c r="O88" s="115" t="s">
        <v>193</v>
      </c>
      <c r="P88" s="112"/>
      <c r="Q88" s="113"/>
    </row>
    <row r="89">
      <c r="A89" s="28" t="s">
        <v>194</v>
      </c>
      <c r="B89" s="27">
        <f>1250+3000</f>
        <v>4250</v>
      </c>
      <c r="C89" s="27">
        <v>2.0</v>
      </c>
      <c r="D89" s="27">
        <f t="shared" si="22"/>
        <v>8500</v>
      </c>
      <c r="E89" s="114" t="s">
        <v>195</v>
      </c>
      <c r="F89" s="112"/>
      <c r="G89" s="112"/>
      <c r="H89" s="112"/>
      <c r="I89" s="112"/>
      <c r="J89" s="112"/>
      <c r="K89" s="112"/>
      <c r="L89" s="112"/>
      <c r="M89" s="112"/>
      <c r="N89" s="113"/>
      <c r="O89" s="116" t="s">
        <v>196</v>
      </c>
      <c r="P89" s="112"/>
      <c r="Q89" s="113"/>
    </row>
    <row r="90">
      <c r="A90" s="28" t="s">
        <v>2</v>
      </c>
      <c r="B90" s="27" t="s">
        <v>2</v>
      </c>
      <c r="C90" s="30"/>
      <c r="D90" s="27" t="s">
        <v>2</v>
      </c>
      <c r="E90" s="117"/>
      <c r="F90" s="112"/>
      <c r="G90" s="112"/>
      <c r="H90" s="112"/>
      <c r="I90" s="112"/>
      <c r="J90" s="112"/>
      <c r="K90" s="112"/>
      <c r="L90" s="112"/>
      <c r="M90" s="112"/>
      <c r="N90" s="113"/>
      <c r="O90" s="118"/>
      <c r="P90" s="112"/>
      <c r="Q90" s="113"/>
    </row>
    <row r="91">
      <c r="A91" s="28" t="s">
        <v>2</v>
      </c>
      <c r="B91" s="30"/>
      <c r="C91" s="27" t="s">
        <v>2</v>
      </c>
      <c r="D91" s="27" t="s">
        <v>2</v>
      </c>
      <c r="E91" s="117"/>
      <c r="F91" s="112"/>
      <c r="G91" s="112"/>
      <c r="H91" s="112"/>
      <c r="I91" s="112"/>
      <c r="J91" s="112"/>
      <c r="K91" s="112"/>
      <c r="L91" s="112"/>
      <c r="M91" s="112"/>
      <c r="N91" s="113"/>
      <c r="O91" s="118"/>
      <c r="P91" s="112"/>
      <c r="Q91" s="113"/>
    </row>
    <row r="92">
      <c r="A92" s="91"/>
      <c r="B92" s="17"/>
      <c r="C92" s="17"/>
      <c r="D92" s="17"/>
      <c r="E92" s="118"/>
      <c r="F92" s="112"/>
      <c r="G92" s="112"/>
      <c r="H92" s="112"/>
      <c r="I92" s="112"/>
      <c r="J92" s="112"/>
      <c r="K92" s="112"/>
      <c r="L92" s="112"/>
      <c r="M92" s="112"/>
      <c r="N92" s="113"/>
      <c r="O92" s="118"/>
      <c r="P92" s="112"/>
      <c r="Q92" s="113"/>
    </row>
    <row r="93">
      <c r="A93" s="10" t="s">
        <v>49</v>
      </c>
      <c r="B93" s="70"/>
      <c r="C93" s="70"/>
      <c r="D93" s="70">
        <f>SUM(D88:D92)</f>
        <v>208500</v>
      </c>
      <c r="E93" s="118"/>
      <c r="F93" s="112"/>
      <c r="G93" s="112"/>
      <c r="H93" s="112"/>
      <c r="I93" s="112"/>
      <c r="J93" s="112"/>
      <c r="K93" s="112"/>
      <c r="L93" s="112"/>
      <c r="M93" s="112"/>
      <c r="N93" s="113"/>
      <c r="O93" s="118"/>
      <c r="P93" s="112"/>
      <c r="Q93" s="113"/>
    </row>
    <row r="94">
      <c r="A94" s="45"/>
    </row>
    <row r="95">
      <c r="A95" s="94" t="s">
        <v>197</v>
      </c>
    </row>
    <row r="96">
      <c r="A96" s="10" t="s">
        <v>186</v>
      </c>
      <c r="B96" s="65" t="s">
        <v>187</v>
      </c>
      <c r="C96" s="65" t="s">
        <v>188</v>
      </c>
      <c r="D96" s="65" t="s">
        <v>189</v>
      </c>
      <c r="E96" s="111" t="s">
        <v>70</v>
      </c>
      <c r="F96" s="112"/>
      <c r="G96" s="112"/>
      <c r="H96" s="112"/>
      <c r="I96" s="112"/>
      <c r="J96" s="112"/>
      <c r="K96" s="112"/>
      <c r="L96" s="112"/>
      <c r="M96" s="112"/>
      <c r="N96" s="113"/>
    </row>
    <row r="97">
      <c r="A97" s="28" t="s">
        <v>198</v>
      </c>
      <c r="B97" s="27">
        <v>40000.0</v>
      </c>
      <c r="C97" s="27">
        <v>1.0</v>
      </c>
      <c r="D97" s="27">
        <f>B97*C97</f>
        <v>40000</v>
      </c>
      <c r="E97" s="114" t="s">
        <v>192</v>
      </c>
      <c r="F97" s="112"/>
      <c r="G97" s="112"/>
      <c r="H97" s="112"/>
      <c r="I97" s="112"/>
      <c r="J97" s="112"/>
      <c r="K97" s="112"/>
      <c r="L97" s="112"/>
      <c r="M97" s="112"/>
      <c r="N97" s="113"/>
    </row>
    <row r="98">
      <c r="A98" s="45"/>
    </row>
    <row r="99">
      <c r="A99" s="45"/>
    </row>
    <row r="100">
      <c r="A100" s="119" t="s">
        <v>199</v>
      </c>
    </row>
    <row r="101">
      <c r="A101" s="119" t="s">
        <v>200</v>
      </c>
      <c r="B101" s="120" t="s">
        <v>201</v>
      </c>
    </row>
    <row r="102">
      <c r="A102" s="99" t="s">
        <v>4</v>
      </c>
      <c r="B102" s="121">
        <v>30.0</v>
      </c>
    </row>
    <row r="103">
      <c r="A103" s="99" t="s">
        <v>202</v>
      </c>
      <c r="B103" s="121">
        <v>43.0</v>
      </c>
    </row>
    <row r="104">
      <c r="A104" s="99" t="s">
        <v>3</v>
      </c>
      <c r="B104" s="121">
        <v>55.0</v>
      </c>
    </row>
    <row r="105">
      <c r="A105" s="45"/>
    </row>
    <row r="106">
      <c r="A106" s="119" t="s">
        <v>203</v>
      </c>
      <c r="B106" s="13">
        <v>900.0</v>
      </c>
      <c r="C106" s="6"/>
    </row>
    <row r="107">
      <c r="A107" s="122"/>
      <c r="B107" s="6"/>
      <c r="C107" s="6"/>
    </row>
    <row r="108">
      <c r="A108" s="122"/>
      <c r="B108" s="6"/>
      <c r="C108" s="6"/>
    </row>
    <row r="109">
      <c r="A109" s="119" t="s">
        <v>204</v>
      </c>
      <c r="B109" s="6"/>
      <c r="C109" s="6"/>
    </row>
    <row r="110">
      <c r="A110" s="119" t="s">
        <v>205</v>
      </c>
      <c r="B110" s="120" t="s">
        <v>7</v>
      </c>
      <c r="C110" s="120" t="s">
        <v>206</v>
      </c>
    </row>
    <row r="111">
      <c r="A111" s="99" t="s">
        <v>207</v>
      </c>
      <c r="B111" s="123">
        <v>2200.0</v>
      </c>
      <c r="C111" s="124">
        <f t="shared" ref="C111:C112" si="23">B111/20</f>
        <v>110</v>
      </c>
    </row>
    <row r="112">
      <c r="A112" s="99" t="s">
        <v>208</v>
      </c>
      <c r="B112" s="125">
        <f>B111/6</f>
        <v>366.6666667</v>
      </c>
      <c r="C112" s="124">
        <f t="shared" si="23"/>
        <v>18.33333333</v>
      </c>
    </row>
    <row r="113">
      <c r="A113" s="119" t="s">
        <v>209</v>
      </c>
      <c r="B113" s="126">
        <f t="shared" ref="B113:C113" si="24">$B$106*B112</f>
        <v>330000</v>
      </c>
      <c r="C113" s="127">
        <f t="shared" si="24"/>
        <v>16500</v>
      </c>
    </row>
    <row r="114">
      <c r="A114" s="45"/>
      <c r="B114" s="128"/>
      <c r="C114" s="49"/>
    </row>
    <row r="115">
      <c r="A115" s="119" t="s">
        <v>210</v>
      </c>
      <c r="B115" s="123" t="s">
        <v>7</v>
      </c>
      <c r="C115" s="127" t="s">
        <v>206</v>
      </c>
    </row>
    <row r="116">
      <c r="A116" s="99" t="s">
        <v>211</v>
      </c>
      <c r="B116" s="123">
        <f>16000*4</f>
        <v>64000</v>
      </c>
      <c r="C116" s="124">
        <f t="shared" ref="C116:C117" si="25">B116/20</f>
        <v>3200</v>
      </c>
    </row>
    <row r="117">
      <c r="A117" s="99" t="s">
        <v>212</v>
      </c>
      <c r="B117" s="123">
        <v>5000.0</v>
      </c>
      <c r="C117" s="124">
        <f t="shared" si="25"/>
        <v>250</v>
      </c>
    </row>
    <row r="118">
      <c r="A118" s="99" t="s">
        <v>213</v>
      </c>
      <c r="B118" s="126"/>
      <c r="C118" s="127"/>
    </row>
    <row r="119">
      <c r="A119" s="99" t="s">
        <v>214</v>
      </c>
      <c r="B119" s="126"/>
      <c r="C119" s="127"/>
    </row>
    <row r="120">
      <c r="A120" s="6" t="s">
        <v>215</v>
      </c>
      <c r="B120" s="126"/>
      <c r="C120" s="127"/>
    </row>
    <row r="121">
      <c r="A121" s="119" t="s">
        <v>189</v>
      </c>
      <c r="B121" s="126">
        <f>SUM(B116:B117)</f>
        <v>69000</v>
      </c>
      <c r="C121" s="127">
        <f>B121/20</f>
        <v>3450</v>
      </c>
    </row>
    <row r="122">
      <c r="A122" s="45"/>
      <c r="B122" s="128"/>
      <c r="C122" s="49"/>
    </row>
    <row r="123">
      <c r="A123" s="119" t="s">
        <v>216</v>
      </c>
      <c r="B123" s="128"/>
      <c r="C123" s="49"/>
    </row>
    <row r="124">
      <c r="A124" s="99" t="s">
        <v>217</v>
      </c>
      <c r="B124" s="123">
        <v>2.0</v>
      </c>
      <c r="C124" s="49"/>
    </row>
    <row r="125">
      <c r="A125" s="99" t="s">
        <v>218</v>
      </c>
      <c r="B125" s="123">
        <f>B124* 8*60/40</f>
        <v>24</v>
      </c>
      <c r="C125" s="49"/>
    </row>
    <row r="126">
      <c r="A126" s="99" t="s">
        <v>219</v>
      </c>
      <c r="B126" s="123">
        <v>6.0</v>
      </c>
      <c r="C126" s="49"/>
    </row>
    <row r="127">
      <c r="A127" s="119" t="s">
        <v>220</v>
      </c>
      <c r="B127" s="126">
        <f>B125*B126</f>
        <v>144</v>
      </c>
      <c r="C127" s="49"/>
    </row>
    <row r="128">
      <c r="A128" s="45"/>
      <c r="B128" s="128"/>
      <c r="C128" s="49"/>
    </row>
    <row r="129">
      <c r="A129" s="45"/>
      <c r="B129" s="128"/>
      <c r="C129" s="49" t="s">
        <v>2</v>
      </c>
    </row>
    <row r="130">
      <c r="A130" s="119" t="s">
        <v>221</v>
      </c>
      <c r="B130" s="46"/>
      <c r="C130" s="49"/>
    </row>
    <row r="131">
      <c r="A131" s="119" t="s">
        <v>222</v>
      </c>
      <c r="B131" s="129" t="s">
        <v>7</v>
      </c>
      <c r="C131" s="127" t="s">
        <v>206</v>
      </c>
    </row>
    <row r="132">
      <c r="A132" s="99" t="s">
        <v>207</v>
      </c>
      <c r="B132" s="123">
        <v>1800.0</v>
      </c>
      <c r="C132" s="124">
        <f t="shared" ref="C132:C133" si="26">B132/20</f>
        <v>90</v>
      </c>
    </row>
    <row r="133">
      <c r="A133" s="99" t="s">
        <v>208</v>
      </c>
      <c r="B133" s="125">
        <f>B132/6</f>
        <v>300</v>
      </c>
      <c r="C133" s="124">
        <f t="shared" si="26"/>
        <v>15</v>
      </c>
    </row>
    <row r="134">
      <c r="A134" s="119" t="s">
        <v>223</v>
      </c>
      <c r="B134" s="126">
        <f t="shared" ref="B134:C134" si="27">$B$106*B133</f>
        <v>270000</v>
      </c>
      <c r="C134" s="127">
        <f t="shared" si="27"/>
        <v>13500</v>
      </c>
    </row>
    <row r="135">
      <c r="A135" s="99" t="s">
        <v>224</v>
      </c>
      <c r="B135" s="17"/>
      <c r="C135" s="17"/>
    </row>
    <row r="136">
      <c r="A136" s="13" t="s">
        <v>225</v>
      </c>
      <c r="B136" s="17"/>
      <c r="C136" s="17"/>
    </row>
    <row r="137">
      <c r="A137" s="45"/>
    </row>
    <row r="138">
      <c r="A138" s="99" t="s">
        <v>226</v>
      </c>
      <c r="B138" s="13">
        <v>6.0</v>
      </c>
    </row>
    <row r="139">
      <c r="A139" s="99" t="s">
        <v>227</v>
      </c>
      <c r="B139" s="130">
        <v>0.1</v>
      </c>
    </row>
    <row r="140">
      <c r="A140" s="99" t="s">
        <v>228</v>
      </c>
      <c r="B140" s="13">
        <v>6800.0</v>
      </c>
    </row>
    <row r="141">
      <c r="A141" s="99" t="s">
        <v>229</v>
      </c>
      <c r="B141" s="13">
        <v>2.0</v>
      </c>
    </row>
    <row r="142">
      <c r="A142" s="99" t="s">
        <v>230</v>
      </c>
      <c r="B142" s="13">
        <v>750.0</v>
      </c>
    </row>
    <row r="143">
      <c r="A143" s="99" t="s">
        <v>231</v>
      </c>
      <c r="B143" s="13">
        <v>6.0</v>
      </c>
    </row>
    <row r="144">
      <c r="A144" s="99" t="s">
        <v>232</v>
      </c>
      <c r="B144" s="13">
        <v>4.0</v>
      </c>
    </row>
    <row r="145">
      <c r="A145" s="99" t="s">
        <v>233</v>
      </c>
      <c r="B145" s="13">
        <v>2.0</v>
      </c>
    </row>
    <row r="146">
      <c r="A146" s="99" t="s">
        <v>234</v>
      </c>
      <c r="B146" s="130">
        <v>0.25</v>
      </c>
    </row>
    <row r="147">
      <c r="A147" s="99" t="s">
        <v>235</v>
      </c>
      <c r="B147" s="13">
        <v>3.0</v>
      </c>
    </row>
    <row r="148">
      <c r="A148" s="99" t="s">
        <v>236</v>
      </c>
      <c r="B148" s="13">
        <v>550.0</v>
      </c>
    </row>
    <row r="149">
      <c r="A149" s="99" t="s">
        <v>237</v>
      </c>
      <c r="B149" s="13">
        <v>750.0</v>
      </c>
    </row>
    <row r="150">
      <c r="A150" s="99" t="s">
        <v>238</v>
      </c>
      <c r="B150" s="123">
        <v>20000.0</v>
      </c>
    </row>
    <row r="151">
      <c r="A151" s="99" t="s">
        <v>239</v>
      </c>
      <c r="B151" s="13">
        <v>8000.0</v>
      </c>
    </row>
    <row r="152">
      <c r="A152" s="99" t="s">
        <v>240</v>
      </c>
      <c r="B152" s="13">
        <v>8.0</v>
      </c>
    </row>
    <row r="153">
      <c r="A153" s="99" t="s">
        <v>241</v>
      </c>
      <c r="B153" s="13">
        <v>130.0</v>
      </c>
    </row>
    <row r="154">
      <c r="A154" s="99" t="s">
        <v>242</v>
      </c>
      <c r="B154" s="17">
        <f>B145+B147+1+1</f>
        <v>7</v>
      </c>
    </row>
    <row r="155">
      <c r="A155" s="99" t="s">
        <v>243</v>
      </c>
      <c r="B155" s="13">
        <v>23.0</v>
      </c>
    </row>
    <row r="156">
      <c r="A156" s="99" t="s">
        <v>244</v>
      </c>
      <c r="B156" s="13">
        <v>5.0</v>
      </c>
    </row>
    <row r="157">
      <c r="A157" s="99" t="s">
        <v>245</v>
      </c>
      <c r="B157" s="13">
        <v>25000.0</v>
      </c>
    </row>
    <row r="158">
      <c r="A158" s="45"/>
    </row>
    <row r="159">
      <c r="A159" s="45"/>
    </row>
    <row r="160">
      <c r="A160" s="131" t="s">
        <v>246</v>
      </c>
      <c r="E160" s="132"/>
      <c r="G160" s="133">
        <v>18.5</v>
      </c>
    </row>
    <row r="161">
      <c r="A161" s="134" t="s">
        <v>247</v>
      </c>
      <c r="B161" s="134" t="s">
        <v>248</v>
      </c>
      <c r="C161" s="134" t="s">
        <v>249</v>
      </c>
      <c r="D161" s="134" t="s">
        <v>250</v>
      </c>
      <c r="E161" s="132"/>
    </row>
    <row r="162">
      <c r="A162" s="135" t="s">
        <v>251</v>
      </c>
      <c r="B162" s="136">
        <f>(B182+B183)*0.1</f>
        <v>19741.37931</v>
      </c>
      <c r="C162" s="137">
        <v>2.0</v>
      </c>
      <c r="D162" s="138">
        <f t="shared" ref="D162:D172" si="28">B162*C162</f>
        <v>39482.75862</v>
      </c>
      <c r="E162" s="139" t="s">
        <v>252</v>
      </c>
    </row>
    <row r="163">
      <c r="A163" s="135" t="s">
        <v>253</v>
      </c>
      <c r="B163" s="136">
        <f>6800*2</f>
        <v>13600</v>
      </c>
      <c r="C163" s="137">
        <v>6.0</v>
      </c>
      <c r="D163" s="138">
        <f t="shared" si="28"/>
        <v>81600</v>
      </c>
      <c r="E163" s="139" t="s">
        <v>254</v>
      </c>
    </row>
    <row r="164">
      <c r="A164" s="139" t="s">
        <v>255</v>
      </c>
      <c r="B164" s="138">
        <f>750*6*4*2*1.25</f>
        <v>45000</v>
      </c>
      <c r="C164" s="137">
        <v>6.0</v>
      </c>
      <c r="D164" s="138">
        <f t="shared" si="28"/>
        <v>270000</v>
      </c>
      <c r="E164" s="139" t="s">
        <v>256</v>
      </c>
    </row>
    <row r="165">
      <c r="A165" s="135" t="s">
        <v>257</v>
      </c>
      <c r="B165" s="136">
        <f>550*6*4*3*1.25</f>
        <v>49500</v>
      </c>
      <c r="C165" s="137">
        <v>6.0</v>
      </c>
      <c r="D165" s="138">
        <f t="shared" si="28"/>
        <v>297000</v>
      </c>
      <c r="E165" s="139" t="s">
        <v>258</v>
      </c>
    </row>
    <row r="166">
      <c r="A166" s="139" t="s">
        <v>259</v>
      </c>
      <c r="B166" s="138">
        <f>750*6*4*1*1.25</f>
        <v>22500</v>
      </c>
      <c r="C166" s="137">
        <v>6.0</v>
      </c>
      <c r="D166" s="138">
        <f t="shared" si="28"/>
        <v>135000</v>
      </c>
      <c r="E166" s="139" t="s">
        <v>260</v>
      </c>
    </row>
    <row r="167">
      <c r="A167" s="135" t="s">
        <v>261</v>
      </c>
      <c r="B167" s="136">
        <v>20000.0</v>
      </c>
      <c r="C167" s="137">
        <v>8.0</v>
      </c>
      <c r="D167" s="138">
        <f t="shared" si="28"/>
        <v>160000</v>
      </c>
      <c r="E167" s="139" t="s">
        <v>262</v>
      </c>
    </row>
    <row r="168">
      <c r="A168" s="135" t="s">
        <v>263</v>
      </c>
      <c r="B168" s="138">
        <f>3500+10000</f>
        <v>13500</v>
      </c>
      <c r="C168" s="137">
        <v>8.0</v>
      </c>
      <c r="D168" s="138">
        <f t="shared" si="28"/>
        <v>108000</v>
      </c>
      <c r="E168" s="139" t="s">
        <v>264</v>
      </c>
    </row>
    <row r="169">
      <c r="A169" s="139" t="s">
        <v>265</v>
      </c>
      <c r="B169" s="136">
        <v>10000.0</v>
      </c>
      <c r="C169" s="137">
        <v>6.0</v>
      </c>
      <c r="D169" s="138">
        <f t="shared" si="28"/>
        <v>60000</v>
      </c>
      <c r="E169" s="139" t="s">
        <v>266</v>
      </c>
    </row>
    <row r="170">
      <c r="A170" s="135" t="s">
        <v>267</v>
      </c>
      <c r="B170" s="138">
        <f>(50+80)*6*4*7</f>
        <v>21840</v>
      </c>
      <c r="C170" s="137">
        <v>6.0</v>
      </c>
      <c r="D170" s="138">
        <f t="shared" si="28"/>
        <v>131040</v>
      </c>
      <c r="E170" s="139" t="s">
        <v>268</v>
      </c>
    </row>
    <row r="171">
      <c r="A171" s="139" t="s">
        <v>269</v>
      </c>
      <c r="B171" s="138">
        <f>499.6*4</f>
        <v>1998.4</v>
      </c>
      <c r="C171" s="137">
        <v>6.0</v>
      </c>
      <c r="D171" s="138">
        <f t="shared" si="28"/>
        <v>11990.4</v>
      </c>
      <c r="E171" s="139" t="s">
        <v>270</v>
      </c>
    </row>
    <row r="172">
      <c r="A172" s="139" t="s">
        <v>271</v>
      </c>
      <c r="B172" s="136">
        <v>25000.0</v>
      </c>
      <c r="C172" s="137">
        <v>6.0</v>
      </c>
      <c r="D172" s="138">
        <f t="shared" si="28"/>
        <v>150000</v>
      </c>
      <c r="E172" s="139" t="s">
        <v>272</v>
      </c>
    </row>
    <row r="173">
      <c r="A173" s="132"/>
      <c r="B173" s="132"/>
      <c r="C173" s="140" t="s">
        <v>273</v>
      </c>
      <c r="D173" s="141">
        <f>SUM(D162:D172)</f>
        <v>1444113.159</v>
      </c>
      <c r="E173" s="142">
        <f t="shared" ref="E173:E177" si="29">D173/$G$160</f>
        <v>78060.17074</v>
      </c>
    </row>
    <row r="174">
      <c r="A174" s="132"/>
      <c r="B174" s="132"/>
      <c r="C174" s="140" t="s">
        <v>274</v>
      </c>
      <c r="D174" s="141">
        <f>D173*0.16</f>
        <v>231058.1054</v>
      </c>
      <c r="E174" s="142">
        <f t="shared" si="29"/>
        <v>12489.62732</v>
      </c>
      <c r="H174" s="6" t="s">
        <v>275</v>
      </c>
    </row>
    <row r="175">
      <c r="A175" s="132"/>
      <c r="B175" s="132"/>
      <c r="C175" s="140" t="s">
        <v>276</v>
      </c>
      <c r="D175" s="141">
        <f>SUM(D173:D174)</f>
        <v>1675171.264</v>
      </c>
      <c r="E175" s="142">
        <f t="shared" si="29"/>
        <v>90549.79805</v>
      </c>
      <c r="H175" s="6" t="s">
        <v>277</v>
      </c>
    </row>
    <row r="176">
      <c r="A176" s="132"/>
      <c r="B176" s="132"/>
      <c r="C176" s="140" t="s">
        <v>278</v>
      </c>
      <c r="D176" s="141">
        <f>D175/8</f>
        <v>209396.408</v>
      </c>
      <c r="E176" s="142">
        <f t="shared" si="29"/>
        <v>11318.72476</v>
      </c>
    </row>
    <row r="177">
      <c r="A177" s="132"/>
      <c r="B177" s="132"/>
      <c r="C177" s="140" t="s">
        <v>279</v>
      </c>
      <c r="D177" s="141">
        <f>D176/15</f>
        <v>13959.76053</v>
      </c>
      <c r="E177" s="142">
        <f t="shared" si="29"/>
        <v>754.5816505</v>
      </c>
    </row>
    <row r="178">
      <c r="A178" s="132"/>
      <c r="B178" s="132"/>
      <c r="C178" s="132"/>
      <c r="D178" s="140" t="s">
        <v>280</v>
      </c>
      <c r="E178" s="143" t="s">
        <v>118</v>
      </c>
    </row>
    <row r="179">
      <c r="A179" s="132"/>
      <c r="B179" s="132"/>
      <c r="C179" s="132"/>
      <c r="D179" s="132"/>
      <c r="E179" s="132"/>
    </row>
    <row r="180">
      <c r="A180" s="132"/>
      <c r="B180" s="132"/>
      <c r="C180" s="132"/>
      <c r="D180" s="144"/>
      <c r="E180" s="145"/>
    </row>
    <row r="181">
      <c r="A181" s="139" t="s">
        <v>281</v>
      </c>
      <c r="B181" s="131"/>
      <c r="C181" s="131"/>
      <c r="D181" s="131"/>
      <c r="E181" s="132"/>
    </row>
    <row r="182">
      <c r="A182" s="139" t="s">
        <v>94</v>
      </c>
      <c r="B182" s="138">
        <f>200000/1.16</f>
        <v>172413.7931</v>
      </c>
      <c r="C182" s="137">
        <v>2.0</v>
      </c>
      <c r="D182" s="138">
        <f t="shared" ref="D182:D186" si="30">B182*C182</f>
        <v>344827.5862</v>
      </c>
      <c r="E182" s="139" t="s">
        <v>282</v>
      </c>
    </row>
    <row r="183">
      <c r="A183" s="139" t="s">
        <v>283</v>
      </c>
      <c r="B183" s="138">
        <v>25000.0</v>
      </c>
      <c r="C183" s="137">
        <v>2.0</v>
      </c>
      <c r="D183" s="138">
        <f t="shared" si="30"/>
        <v>50000</v>
      </c>
      <c r="E183" s="139" t="s">
        <v>282</v>
      </c>
    </row>
    <row r="184">
      <c r="A184" s="135" t="s">
        <v>284</v>
      </c>
      <c r="B184" s="136">
        <v>7000.0</v>
      </c>
      <c r="C184" s="146">
        <v>1.0</v>
      </c>
      <c r="D184" s="138">
        <f t="shared" si="30"/>
        <v>7000</v>
      </c>
      <c r="E184" s="135" t="s">
        <v>285</v>
      </c>
    </row>
    <row r="185">
      <c r="A185" s="135" t="s">
        <v>286</v>
      </c>
      <c r="B185" s="147"/>
      <c r="C185" s="148"/>
      <c r="D185" s="147">
        <f t="shared" si="30"/>
        <v>0</v>
      </c>
      <c r="E185" s="139"/>
    </row>
    <row r="186">
      <c r="A186" s="139" t="s">
        <v>287</v>
      </c>
      <c r="B186" s="138">
        <f>5000*6</f>
        <v>30000</v>
      </c>
      <c r="C186" s="137">
        <v>1.0</v>
      </c>
      <c r="D186" s="138">
        <f t="shared" si="30"/>
        <v>30000</v>
      </c>
      <c r="E186" s="139" t="s">
        <v>281</v>
      </c>
    </row>
    <row r="187">
      <c r="A187" s="132"/>
      <c r="B187" s="132"/>
      <c r="C187" s="140" t="s">
        <v>273</v>
      </c>
      <c r="D187" s="141">
        <f>SUM(D182:D186)</f>
        <v>431827.5862</v>
      </c>
      <c r="E187" s="142">
        <f t="shared" ref="E187:E191" si="31">D187/16.3</f>
        <v>26492.48995</v>
      </c>
    </row>
    <row r="188">
      <c r="A188" s="132"/>
      <c r="B188" s="132"/>
      <c r="C188" s="140" t="s">
        <v>274</v>
      </c>
      <c r="D188" s="141">
        <f>D187*0.16</f>
        <v>69092.41379</v>
      </c>
      <c r="E188" s="142">
        <f t="shared" si="31"/>
        <v>4238.798392</v>
      </c>
    </row>
    <row r="189">
      <c r="A189" s="132"/>
      <c r="B189" s="132"/>
      <c r="C189" s="140" t="s">
        <v>276</v>
      </c>
      <c r="D189" s="141">
        <f>SUM(D187:D188)</f>
        <v>500920</v>
      </c>
      <c r="E189" s="142">
        <f t="shared" si="31"/>
        <v>30731.28834</v>
      </c>
    </row>
    <row r="190">
      <c r="A190" s="132"/>
      <c r="B190" s="132"/>
      <c r="C190" s="140" t="s">
        <v>278</v>
      </c>
      <c r="D190" s="141">
        <f>D189/8</f>
        <v>62615</v>
      </c>
      <c r="E190" s="142">
        <f t="shared" si="31"/>
        <v>3841.411043</v>
      </c>
    </row>
    <row r="191">
      <c r="A191" s="132"/>
      <c r="B191" s="132"/>
      <c r="C191" s="140" t="s">
        <v>279</v>
      </c>
      <c r="D191" s="141">
        <f>D190/20</f>
        <v>3130.75</v>
      </c>
      <c r="E191" s="142">
        <f t="shared" si="31"/>
        <v>192.0705521</v>
      </c>
    </row>
    <row r="192">
      <c r="A192" s="132"/>
      <c r="B192" s="132"/>
      <c r="C192" s="132"/>
      <c r="D192" s="140" t="s">
        <v>280</v>
      </c>
      <c r="E192" s="143" t="s">
        <v>118</v>
      </c>
    </row>
    <row r="193">
      <c r="A193" s="45"/>
    </row>
    <row r="194">
      <c r="A194" s="45"/>
      <c r="D194" s="6" t="s">
        <v>288</v>
      </c>
      <c r="E194" s="6" t="s">
        <v>289</v>
      </c>
    </row>
    <row r="195">
      <c r="A195" s="2" t="s">
        <v>290</v>
      </c>
      <c r="B195" s="6">
        <v>4500.0</v>
      </c>
      <c r="C195" s="6">
        <v>1.0</v>
      </c>
      <c r="D195" s="21">
        <f t="shared" ref="D195:D196" si="32">B195*C195</f>
        <v>4500</v>
      </c>
      <c r="E195" s="21">
        <f t="shared" ref="E195:E196" si="33">D195*4</f>
        <v>18000</v>
      </c>
    </row>
    <row r="196">
      <c r="A196" s="2" t="s">
        <v>291</v>
      </c>
      <c r="B196" s="6">
        <v>3000.0</v>
      </c>
      <c r="C196" s="6">
        <v>5.0</v>
      </c>
      <c r="D196" s="21">
        <f t="shared" si="32"/>
        <v>15000</v>
      </c>
      <c r="E196" s="21">
        <f t="shared" si="33"/>
        <v>60000</v>
      </c>
    </row>
    <row r="197">
      <c r="A197" s="45"/>
      <c r="G197" s="142"/>
    </row>
    <row r="198">
      <c r="A198" s="2" t="s">
        <v>292</v>
      </c>
      <c r="B198" s="6">
        <v>7000.0</v>
      </c>
      <c r="C198" s="6">
        <v>2.0</v>
      </c>
      <c r="D198" s="21">
        <f>B198*C198</f>
        <v>14000</v>
      </c>
      <c r="E198" s="21">
        <f>D198*4</f>
        <v>56000</v>
      </c>
    </row>
    <row r="199">
      <c r="A199" s="2" t="s">
        <v>293</v>
      </c>
      <c r="B199" s="21">
        <f>B198/35</f>
        <v>200</v>
      </c>
      <c r="E199" s="21">
        <f>sum(E195:E198)</f>
        <v>134000</v>
      </c>
    </row>
    <row r="200">
      <c r="A200" s="45"/>
    </row>
    <row r="201">
      <c r="A201" s="45"/>
    </row>
    <row r="202">
      <c r="A202" s="149" t="s">
        <v>294</v>
      </c>
      <c r="G202" s="150">
        <v>18.53</v>
      </c>
    </row>
    <row r="203">
      <c r="A203" s="151" t="str">
        <f t="shared" ref="A203:D203" si="34">A161</f>
        <v>Concepto</v>
      </c>
      <c r="B203" s="151" t="str">
        <f t="shared" si="34"/>
        <v>Costo</v>
      </c>
      <c r="C203" s="151" t="str">
        <f t="shared" si="34"/>
        <v>Cantidad</v>
      </c>
      <c r="D203" s="151" t="str">
        <f t="shared" si="34"/>
        <v>Subtotal</v>
      </c>
      <c r="E203" s="134" t="s">
        <v>295</v>
      </c>
    </row>
    <row r="204">
      <c r="A204" s="45" t="str">
        <f t="shared" ref="A204:A215" si="35">A162</f>
        <v>Mantenimientos (10% costo equipo)</v>
      </c>
      <c r="B204" s="152">
        <f>B162*G202</f>
        <v>365807.7586</v>
      </c>
      <c r="C204" s="45">
        <f>C162</f>
        <v>2</v>
      </c>
      <c r="D204" s="152">
        <f t="shared" ref="D204:D214" si="36">B204*C204</f>
        <v>731615.5172</v>
      </c>
      <c r="E204" s="139" t="str">
        <f>E162</f>
        <v>Considerando un servicio anual a cada ATV y cada remolque</v>
      </c>
    </row>
    <row r="205">
      <c r="A205" s="45" t="str">
        <f t="shared" si="35"/>
        <v>Servicio contenedores (disposicion final; 6800/cont)</v>
      </c>
      <c r="B205" s="153">
        <v>9800.0</v>
      </c>
      <c r="C205" s="45">
        <f>4*6</f>
        <v>24</v>
      </c>
      <c r="D205" s="152">
        <f t="shared" si="36"/>
        <v>235200</v>
      </c>
      <c r="E205" s="135" t="s">
        <v>296</v>
      </c>
    </row>
    <row r="206">
      <c r="A206" s="45" t="str">
        <f t="shared" si="35"/>
        <v>Operador de ATV</v>
      </c>
      <c r="B206" s="152">
        <f t="shared" ref="B206:C206" si="37">B164</f>
        <v>45000</v>
      </c>
      <c r="C206" s="45">
        <f t="shared" si="37"/>
        <v>6</v>
      </c>
      <c r="D206" s="152">
        <f t="shared" si="36"/>
        <v>270000</v>
      </c>
      <c r="E206" s="139" t="str">
        <f t="shared" ref="E206:E214" si="39">E164</f>
        <v>Considerando dos operadores de ATV, contratados con los seguros de ley</v>
      </c>
    </row>
    <row r="207">
      <c r="A207" s="45" t="str">
        <f t="shared" si="35"/>
        <v>Trabajadores (playa, contenedor)</v>
      </c>
      <c r="B207" s="152">
        <f t="shared" ref="B207:C207" si="38">B165</f>
        <v>49500</v>
      </c>
      <c r="C207" s="45">
        <f t="shared" si="38"/>
        <v>6</v>
      </c>
      <c r="D207" s="152">
        <f t="shared" si="36"/>
        <v>297000</v>
      </c>
      <c r="E207" s="139" t="str">
        <f t="shared" si="39"/>
        <v>Considerando un asistente por ATV, más uno que acomoda en el Contenedor, contratados con los seguros de ley</v>
      </c>
    </row>
    <row r="208">
      <c r="A208" s="45" t="str">
        <f t="shared" si="35"/>
        <v>Auxiliar</v>
      </c>
      <c r="B208" s="152">
        <f t="shared" ref="B208:C208" si="40">B166</f>
        <v>22500</v>
      </c>
      <c r="C208" s="45">
        <f t="shared" si="40"/>
        <v>6</v>
      </c>
      <c r="D208" s="152">
        <f t="shared" si="36"/>
        <v>135000</v>
      </c>
      <c r="E208" s="139" t="str">
        <f t="shared" si="39"/>
        <v>Suplente de ATV driver, apoyo en el control de staff y manejo de datos</v>
      </c>
    </row>
    <row r="209">
      <c r="A209" s="45" t="str">
        <f t="shared" si="35"/>
        <v>Jefe de Proyecto</v>
      </c>
      <c r="B209" s="152">
        <f t="shared" ref="B209:C209" si="41">B167</f>
        <v>20000</v>
      </c>
      <c r="C209" s="45">
        <f t="shared" si="41"/>
        <v>8</v>
      </c>
      <c r="D209" s="152">
        <f t="shared" si="36"/>
        <v>160000</v>
      </c>
      <c r="E209" s="139" t="str">
        <f t="shared" si="39"/>
        <v>Coordinación del proyecto, monitoreo del sargazo y del clima marítimo, manejo del staff, reportes mensuales, elaboración y envío de las bitácoras a la SEMARNAT</v>
      </c>
    </row>
    <row r="210">
      <c r="A210" s="45" t="str">
        <f t="shared" si="35"/>
        <v>Gastos administrativos (buffete contable)</v>
      </c>
      <c r="B210" s="152">
        <f t="shared" ref="B210:C210" si="42">B168</f>
        <v>13500</v>
      </c>
      <c r="C210" s="45">
        <f t="shared" si="42"/>
        <v>8</v>
      </c>
      <c r="D210" s="152">
        <f t="shared" si="36"/>
        <v>108000</v>
      </c>
      <c r="E210" s="139" t="str">
        <f t="shared" si="39"/>
        <v>Manejo de la nómina, líneas de captura, manejo de efectivo, seguros de ley</v>
      </c>
    </row>
    <row r="211">
      <c r="A211" s="45" t="str">
        <f t="shared" si="35"/>
        <v>Materiales y herramientas</v>
      </c>
      <c r="B211" s="152">
        <f t="shared" ref="B211:C211" si="43">B169</f>
        <v>10000</v>
      </c>
      <c r="C211" s="45">
        <f t="shared" si="43"/>
        <v>6</v>
      </c>
      <c r="D211" s="152">
        <f t="shared" si="36"/>
        <v>60000</v>
      </c>
      <c r="E211" s="139" t="str">
        <f t="shared" si="39"/>
        <v>Palas, bieldos, baterías, cabos, mantenimiento a radios, etc.</v>
      </c>
    </row>
    <row r="212">
      <c r="A212" s="45" t="str">
        <f t="shared" si="35"/>
        <v>Alimentos y bebidas staff</v>
      </c>
      <c r="B212" s="152">
        <f t="shared" ref="B212:C212" si="44">B170</f>
        <v>21840</v>
      </c>
      <c r="C212" s="45">
        <f t="shared" si="44"/>
        <v>6</v>
      </c>
      <c r="D212" s="152">
        <f t="shared" si="36"/>
        <v>131040</v>
      </c>
      <c r="E212" s="139" t="str">
        <f t="shared" si="39"/>
        <v>Considerando un aumento de 4 personas más al esquema actual</v>
      </c>
    </row>
    <row r="213">
      <c r="A213" s="45" t="str">
        <f t="shared" si="35"/>
        <v>Combustibles</v>
      </c>
      <c r="B213" s="152">
        <f t="shared" ref="B213:C213" si="45">B171</f>
        <v>1998.4</v>
      </c>
      <c r="C213" s="45">
        <f t="shared" si="45"/>
        <v>6</v>
      </c>
      <c r="D213" s="152">
        <f t="shared" si="36"/>
        <v>11990.4</v>
      </c>
      <c r="E213" s="139" t="str">
        <f t="shared" si="39"/>
        <v>Considerando 10 L a la semana por ATV</v>
      </c>
    </row>
    <row r="214">
      <c r="A214" s="154" t="str">
        <f t="shared" si="35"/>
        <v>Renta de Oficina y almacén EPA</v>
      </c>
      <c r="B214" s="155">
        <f t="shared" ref="B214:C214" si="46">B172</f>
        <v>25000</v>
      </c>
      <c r="C214" s="154">
        <f t="shared" si="46"/>
        <v>6</v>
      </c>
      <c r="D214" s="155">
        <f t="shared" si="36"/>
        <v>150000</v>
      </c>
      <c r="E214" s="139" t="str">
        <f t="shared" si="39"/>
        <v>Resguardo y mantenimiento de materiales, habituallamiento del staff, centro de monitoreo y reportes</v>
      </c>
    </row>
    <row r="215">
      <c r="A215" s="45" t="str">
        <f t="shared" si="35"/>
        <v/>
      </c>
      <c r="B215" s="45" t="str">
        <f t="shared" ref="B215:C215" si="47">B173</f>
        <v/>
      </c>
      <c r="C215" s="140" t="str">
        <f t="shared" si="47"/>
        <v>SUBTOTAL</v>
      </c>
      <c r="D215" s="141">
        <f>SUM(D204:D214)</f>
        <v>2289845.917</v>
      </c>
      <c r="E215" s="142">
        <f t="shared" ref="E215:E219" si="48">D215/20.2</f>
        <v>113358.7088</v>
      </c>
    </row>
    <row r="216">
      <c r="A216" s="45"/>
      <c r="C216" s="140" t="s">
        <v>274</v>
      </c>
      <c r="D216" s="141">
        <f>D215*0.16</f>
        <v>366375.3468</v>
      </c>
      <c r="E216" s="142">
        <f t="shared" si="48"/>
        <v>18137.3934</v>
      </c>
    </row>
    <row r="217">
      <c r="A217" s="45"/>
      <c r="C217" s="140" t="s">
        <v>276</v>
      </c>
      <c r="D217" s="141">
        <f>SUM(D215:D216)</f>
        <v>2656221.264</v>
      </c>
      <c r="E217" s="142">
        <f t="shared" si="48"/>
        <v>131496.1022</v>
      </c>
    </row>
    <row r="218">
      <c r="A218" s="45"/>
      <c r="C218" s="156" t="s">
        <v>297</v>
      </c>
      <c r="D218" s="141">
        <f>D217/8</f>
        <v>332027.658</v>
      </c>
      <c r="E218" s="142">
        <f t="shared" si="48"/>
        <v>16437.01277</v>
      </c>
    </row>
    <row r="219">
      <c r="A219" s="45"/>
      <c r="C219" s="140" t="s">
        <v>279</v>
      </c>
      <c r="D219" s="141">
        <f>D218/20</f>
        <v>16601.3829</v>
      </c>
      <c r="E219" s="142">
        <f t="shared" si="48"/>
        <v>821.8506386</v>
      </c>
    </row>
    <row r="220">
      <c r="A220" s="45"/>
      <c r="C220" s="132"/>
      <c r="D220" s="140" t="s">
        <v>280</v>
      </c>
      <c r="E220" s="143" t="s">
        <v>118</v>
      </c>
    </row>
    <row r="221">
      <c r="A221" s="45"/>
    </row>
    <row r="222">
      <c r="A222" s="149" t="s">
        <v>298</v>
      </c>
      <c r="B222" s="149"/>
      <c r="C222" s="149"/>
      <c r="D222" s="149"/>
    </row>
    <row r="223">
      <c r="A223" s="151" t="s">
        <v>247</v>
      </c>
      <c r="B223" s="151" t="s">
        <v>248</v>
      </c>
      <c r="C223" s="151" t="s">
        <v>249</v>
      </c>
      <c r="D223" s="151" t="s">
        <v>250</v>
      </c>
      <c r="E223" s="134" t="s">
        <v>295</v>
      </c>
    </row>
    <row r="224">
      <c r="A224" s="45" t="s">
        <v>299</v>
      </c>
      <c r="B224" s="152">
        <v>150000.0</v>
      </c>
      <c r="C224" s="152">
        <v>1.0</v>
      </c>
      <c r="D224" s="152">
        <f>B224*C224</f>
        <v>150000</v>
      </c>
      <c r="E224" s="6" t="s">
        <v>300</v>
      </c>
    </row>
    <row r="225">
      <c r="A225" s="2" t="s">
        <v>301</v>
      </c>
      <c r="B225" s="155"/>
      <c r="C225" s="155"/>
      <c r="D225" s="155"/>
      <c r="E225" s="6" t="s">
        <v>302</v>
      </c>
    </row>
    <row r="226">
      <c r="A226" s="2" t="s">
        <v>303</v>
      </c>
      <c r="B226" s="155"/>
      <c r="C226" s="155"/>
      <c r="D226" s="155"/>
      <c r="E226" s="6" t="s">
        <v>304</v>
      </c>
    </row>
    <row r="227">
      <c r="A227" s="149"/>
      <c r="B227" s="149"/>
      <c r="C227" s="157" t="s">
        <v>273</v>
      </c>
      <c r="D227" s="158">
        <f>SUM(D224:D226)</f>
        <v>150000</v>
      </c>
    </row>
    <row r="228">
      <c r="A228" s="149"/>
      <c r="B228" s="149"/>
      <c r="C228" s="149"/>
      <c r="D228" s="149"/>
    </row>
    <row r="229">
      <c r="A229" s="149" t="s">
        <v>305</v>
      </c>
    </row>
    <row r="230">
      <c r="A230" s="151" t="str">
        <f t="shared" ref="A230:E230" si="49">A203</f>
        <v>Concepto</v>
      </c>
      <c r="B230" s="151" t="str">
        <f t="shared" si="49"/>
        <v>Costo</v>
      </c>
      <c r="C230" s="151" t="str">
        <f t="shared" si="49"/>
        <v>Cantidad</v>
      </c>
      <c r="D230" s="151" t="str">
        <f t="shared" si="49"/>
        <v>Subtotal</v>
      </c>
      <c r="E230" s="134" t="str">
        <f t="shared" si="49"/>
        <v>Observaciones</v>
      </c>
    </row>
    <row r="231">
      <c r="A231" s="2" t="s">
        <v>306</v>
      </c>
      <c r="B231" s="21">
        <f>500</f>
        <v>500</v>
      </c>
      <c r="C231" s="21">
        <f>1*9</f>
        <v>9</v>
      </c>
      <c r="D231" s="21">
        <f t="shared" ref="D231:D242" si="50">B231*C231</f>
        <v>4500</v>
      </c>
      <c r="E231" s="6" t="s">
        <v>307</v>
      </c>
    </row>
    <row r="232">
      <c r="A232" s="2" t="s">
        <v>308</v>
      </c>
      <c r="B232" s="6">
        <v>1500.0</v>
      </c>
      <c r="C232" s="21">
        <f t="shared" ref="C232:C233" si="51">3*6</f>
        <v>18</v>
      </c>
      <c r="D232" s="21">
        <f t="shared" si="50"/>
        <v>27000</v>
      </c>
      <c r="E232" s="6" t="s">
        <v>309</v>
      </c>
    </row>
    <row r="233">
      <c r="A233" s="2" t="s">
        <v>310</v>
      </c>
      <c r="B233" s="6">
        <v>1300.0</v>
      </c>
      <c r="C233" s="21">
        <f t="shared" si="51"/>
        <v>18</v>
      </c>
      <c r="D233" s="21">
        <f t="shared" si="50"/>
        <v>23400</v>
      </c>
      <c r="E233" s="6" t="s">
        <v>309</v>
      </c>
    </row>
    <row r="234">
      <c r="A234" s="2" t="s">
        <v>311</v>
      </c>
      <c r="B234" s="6">
        <v>1000.0</v>
      </c>
      <c r="C234" s="21">
        <f>6*9</f>
        <v>54</v>
      </c>
      <c r="D234" s="21">
        <f t="shared" si="50"/>
        <v>54000</v>
      </c>
      <c r="E234" s="6" t="s">
        <v>309</v>
      </c>
    </row>
    <row r="235">
      <c r="A235" s="2" t="s">
        <v>312</v>
      </c>
      <c r="B235" s="21">
        <f>600</f>
        <v>600</v>
      </c>
      <c r="C235" s="21">
        <f>12*6</f>
        <v>72</v>
      </c>
      <c r="D235" s="21">
        <f t="shared" si="50"/>
        <v>43200</v>
      </c>
      <c r="E235" s="6" t="s">
        <v>313</v>
      </c>
    </row>
    <row r="236">
      <c r="A236" s="45" t="str">
        <f>A209</f>
        <v>Jefe de Proyecto</v>
      </c>
      <c r="B236" s="45">
        <f>6000</f>
        <v>6000</v>
      </c>
      <c r="C236" s="2">
        <v>1.0</v>
      </c>
      <c r="D236" s="152">
        <f t="shared" si="50"/>
        <v>6000</v>
      </c>
      <c r="E236" s="135" t="s">
        <v>314</v>
      </c>
    </row>
    <row r="237">
      <c r="A237" s="2" t="s">
        <v>315</v>
      </c>
      <c r="B237" s="21">
        <f>1500*6</f>
        <v>9000</v>
      </c>
      <c r="C237" s="21">
        <f>1*6</f>
        <v>6</v>
      </c>
      <c r="D237" s="21">
        <f t="shared" si="50"/>
        <v>54000</v>
      </c>
      <c r="E237" s="6" t="s">
        <v>316</v>
      </c>
    </row>
    <row r="238">
      <c r="A238" s="2" t="s">
        <v>317</v>
      </c>
      <c r="B238" s="21">
        <f>500</f>
        <v>500</v>
      </c>
      <c r="C238" s="6">
        <v>9.0</v>
      </c>
      <c r="D238" s="21">
        <f t="shared" si="50"/>
        <v>4500</v>
      </c>
      <c r="E238" s="6" t="s">
        <v>318</v>
      </c>
    </row>
    <row r="239">
      <c r="A239" s="2" t="s">
        <v>319</v>
      </c>
      <c r="B239" s="21">
        <f>6000</f>
        <v>6000</v>
      </c>
      <c r="C239" s="21">
        <f>1*6</f>
        <v>6</v>
      </c>
      <c r="D239" s="21">
        <f t="shared" si="50"/>
        <v>36000</v>
      </c>
      <c r="E239" s="6" t="s">
        <v>320</v>
      </c>
    </row>
    <row r="240">
      <c r="A240" s="2" t="s">
        <v>321</v>
      </c>
      <c r="B240" s="21">
        <f>5000</f>
        <v>5000</v>
      </c>
      <c r="C240" s="6">
        <v>1.0</v>
      </c>
      <c r="D240" s="21">
        <f t="shared" si="50"/>
        <v>5000</v>
      </c>
      <c r="E240" s="6" t="s">
        <v>322</v>
      </c>
    </row>
    <row r="241">
      <c r="A241" s="2" t="s">
        <v>269</v>
      </c>
      <c r="B241" s="21">
        <f>250</f>
        <v>250</v>
      </c>
      <c r="C241" s="6">
        <v>9.0</v>
      </c>
      <c r="D241" s="21">
        <f t="shared" si="50"/>
        <v>2250</v>
      </c>
      <c r="E241" s="6" t="s">
        <v>309</v>
      </c>
    </row>
    <row r="242">
      <c r="A242" s="2" t="s">
        <v>323</v>
      </c>
      <c r="B242" s="21">
        <f>(150+50+40)</f>
        <v>240</v>
      </c>
      <c r="C242" s="6">
        <f>9*22</f>
        <v>198</v>
      </c>
      <c r="D242" s="21">
        <f t="shared" si="50"/>
        <v>47520</v>
      </c>
      <c r="E242" s="6" t="s">
        <v>309</v>
      </c>
    </row>
    <row r="243">
      <c r="A243" s="45"/>
      <c r="C243" s="156" t="s">
        <v>273</v>
      </c>
      <c r="D243" s="141">
        <f>SUM(D230:D242)</f>
        <v>307370</v>
      </c>
      <c r="E243" s="159">
        <f t="shared" ref="E243:E245" si="52">D243/20.2</f>
        <v>15216.33663</v>
      </c>
    </row>
    <row r="244">
      <c r="A244" s="45"/>
      <c r="C244" s="140" t="s">
        <v>274</v>
      </c>
      <c r="D244" s="141">
        <f>D243*0.16</f>
        <v>49179.2</v>
      </c>
      <c r="E244" s="159">
        <f t="shared" si="52"/>
        <v>2434.613861</v>
      </c>
    </row>
    <row r="245">
      <c r="A245" s="45"/>
      <c r="C245" s="140" t="s">
        <v>276</v>
      </c>
      <c r="D245" s="141">
        <f>SUM(D243:D244)</f>
        <v>356549.2</v>
      </c>
      <c r="E245" s="159">
        <f t="shared" si="52"/>
        <v>17650.9505</v>
      </c>
    </row>
    <row r="246">
      <c r="A246" s="45"/>
    </row>
    <row r="247">
      <c r="A247" s="45"/>
    </row>
    <row r="248">
      <c r="A248" s="45"/>
    </row>
    <row r="249">
      <c r="A249" s="45"/>
    </row>
    <row r="250">
      <c r="A250" s="45"/>
    </row>
    <row r="251">
      <c r="A251" s="45"/>
    </row>
    <row r="252">
      <c r="A252" s="45"/>
    </row>
    <row r="253">
      <c r="A253" s="45"/>
    </row>
    <row r="254">
      <c r="A254" s="45"/>
    </row>
    <row r="255">
      <c r="A255" s="45"/>
    </row>
    <row r="256">
      <c r="A256" s="45"/>
    </row>
    <row r="257">
      <c r="A257" s="45"/>
    </row>
    <row r="258">
      <c r="A258" s="45"/>
    </row>
    <row r="259">
      <c r="A259" s="45"/>
    </row>
    <row r="260">
      <c r="A260" s="45"/>
    </row>
    <row r="261">
      <c r="A261" s="45"/>
    </row>
    <row r="262">
      <c r="A262" s="45"/>
    </row>
    <row r="263">
      <c r="A263" s="45"/>
    </row>
    <row r="264">
      <c r="A264" s="45"/>
    </row>
    <row r="265">
      <c r="A265" s="45"/>
    </row>
    <row r="266">
      <c r="A266" s="45"/>
    </row>
    <row r="267">
      <c r="A267" s="45"/>
    </row>
    <row r="268">
      <c r="A268" s="45"/>
    </row>
    <row r="269">
      <c r="A269" s="45"/>
    </row>
    <row r="270">
      <c r="A270" s="45"/>
    </row>
    <row r="271">
      <c r="A271" s="45"/>
    </row>
    <row r="272">
      <c r="A272" s="45"/>
    </row>
    <row r="273">
      <c r="A273" s="45"/>
    </row>
    <row r="274">
      <c r="A274" s="45"/>
    </row>
    <row r="275">
      <c r="A275" s="45"/>
    </row>
    <row r="276">
      <c r="A276" s="45"/>
    </row>
    <row r="277">
      <c r="A277" s="45"/>
    </row>
    <row r="278">
      <c r="A278" s="45"/>
    </row>
    <row r="279">
      <c r="A279" s="45"/>
    </row>
    <row r="280">
      <c r="A280" s="45"/>
    </row>
    <row r="281">
      <c r="A281" s="45"/>
    </row>
    <row r="282">
      <c r="A282" s="45"/>
    </row>
    <row r="283">
      <c r="A283" s="45"/>
    </row>
    <row r="284">
      <c r="A284" s="45"/>
    </row>
    <row r="285">
      <c r="A285" s="45"/>
    </row>
    <row r="286">
      <c r="A286" s="45"/>
    </row>
    <row r="287">
      <c r="A287" s="45"/>
    </row>
    <row r="288">
      <c r="A288" s="45"/>
    </row>
    <row r="289">
      <c r="A289" s="45"/>
    </row>
    <row r="290">
      <c r="A290" s="45"/>
    </row>
    <row r="291">
      <c r="A291" s="45"/>
    </row>
    <row r="292">
      <c r="A292" s="45"/>
    </row>
    <row r="293">
      <c r="A293" s="45"/>
    </row>
    <row r="294">
      <c r="A294" s="45"/>
    </row>
    <row r="295">
      <c r="A295" s="45"/>
    </row>
    <row r="296">
      <c r="A296" s="45"/>
    </row>
    <row r="297">
      <c r="A297" s="45"/>
    </row>
    <row r="298">
      <c r="A298" s="45"/>
    </row>
    <row r="299">
      <c r="A299" s="45"/>
    </row>
    <row r="300">
      <c r="A300" s="45"/>
    </row>
    <row r="301">
      <c r="A301" s="45"/>
    </row>
    <row r="302">
      <c r="A302" s="45"/>
    </row>
    <row r="303">
      <c r="A303" s="45"/>
    </row>
    <row r="304">
      <c r="A304" s="45"/>
    </row>
    <row r="305">
      <c r="A305" s="45"/>
    </row>
    <row r="306">
      <c r="A306" s="45"/>
    </row>
    <row r="307">
      <c r="A307" s="45"/>
    </row>
    <row r="308">
      <c r="A308" s="45"/>
    </row>
    <row r="309">
      <c r="A309" s="45"/>
    </row>
    <row r="310">
      <c r="A310" s="45"/>
    </row>
    <row r="311">
      <c r="A311" s="45"/>
    </row>
    <row r="312">
      <c r="A312" s="45"/>
    </row>
    <row r="313">
      <c r="A313" s="45"/>
    </row>
    <row r="314">
      <c r="A314" s="45"/>
    </row>
    <row r="315">
      <c r="A315" s="45"/>
    </row>
    <row r="316">
      <c r="A316" s="45"/>
    </row>
    <row r="317">
      <c r="A317" s="45"/>
    </row>
    <row r="318">
      <c r="A318" s="45"/>
    </row>
    <row r="319">
      <c r="A319" s="45"/>
    </row>
    <row r="320">
      <c r="A320" s="45"/>
    </row>
    <row r="321">
      <c r="A321" s="45"/>
    </row>
    <row r="322">
      <c r="A322" s="45"/>
    </row>
    <row r="323">
      <c r="A323" s="45"/>
    </row>
    <row r="324">
      <c r="A324" s="45"/>
    </row>
    <row r="325">
      <c r="A325" s="45"/>
    </row>
    <row r="326">
      <c r="A326" s="45"/>
    </row>
    <row r="327">
      <c r="A327" s="45"/>
    </row>
    <row r="328">
      <c r="A328" s="45"/>
    </row>
    <row r="329">
      <c r="A329" s="45"/>
    </row>
    <row r="330">
      <c r="A330" s="45"/>
    </row>
    <row r="331">
      <c r="A331" s="45"/>
    </row>
    <row r="332">
      <c r="A332" s="45"/>
    </row>
    <row r="333">
      <c r="A333" s="45"/>
    </row>
    <row r="334">
      <c r="A334" s="45"/>
    </row>
    <row r="335">
      <c r="A335" s="45"/>
    </row>
    <row r="336">
      <c r="A336" s="45"/>
    </row>
    <row r="337">
      <c r="A337" s="45"/>
    </row>
    <row r="338">
      <c r="A338" s="45"/>
    </row>
    <row r="339">
      <c r="A339" s="45"/>
    </row>
    <row r="340">
      <c r="A340" s="45"/>
    </row>
    <row r="341">
      <c r="A341" s="45"/>
    </row>
    <row r="342">
      <c r="A342" s="45"/>
    </row>
    <row r="343">
      <c r="A343" s="45"/>
    </row>
    <row r="344">
      <c r="A344" s="45"/>
    </row>
    <row r="345">
      <c r="A345" s="45"/>
    </row>
    <row r="346">
      <c r="A346" s="45"/>
    </row>
    <row r="347">
      <c r="A347" s="45"/>
    </row>
    <row r="348">
      <c r="A348" s="45"/>
    </row>
    <row r="349">
      <c r="A349" s="45"/>
    </row>
    <row r="350">
      <c r="A350" s="45"/>
    </row>
    <row r="351">
      <c r="A351" s="45"/>
    </row>
    <row r="352">
      <c r="A352" s="45"/>
    </row>
    <row r="353">
      <c r="A353" s="45"/>
    </row>
    <row r="354">
      <c r="A354" s="45"/>
    </row>
    <row r="355">
      <c r="A355" s="45"/>
    </row>
    <row r="356">
      <c r="A356" s="45"/>
    </row>
    <row r="357">
      <c r="A357" s="45"/>
    </row>
    <row r="358">
      <c r="A358" s="45"/>
    </row>
    <row r="359">
      <c r="A359" s="45"/>
    </row>
    <row r="360">
      <c r="A360" s="45"/>
    </row>
    <row r="361">
      <c r="A361" s="45"/>
    </row>
    <row r="362">
      <c r="A362" s="45"/>
    </row>
    <row r="363">
      <c r="A363" s="45"/>
    </row>
    <row r="364">
      <c r="A364" s="45"/>
    </row>
    <row r="365">
      <c r="A365" s="45"/>
    </row>
    <row r="366">
      <c r="A366" s="45"/>
    </row>
    <row r="367">
      <c r="A367" s="45"/>
    </row>
    <row r="368">
      <c r="A368" s="45"/>
    </row>
    <row r="369">
      <c r="A369" s="45"/>
    </row>
    <row r="370">
      <c r="A370" s="45"/>
    </row>
    <row r="371">
      <c r="A371" s="45"/>
    </row>
    <row r="372">
      <c r="A372" s="45"/>
    </row>
    <row r="373">
      <c r="A373" s="45"/>
    </row>
    <row r="374">
      <c r="A374" s="45"/>
    </row>
    <row r="375">
      <c r="A375" s="45"/>
    </row>
    <row r="376">
      <c r="A376" s="45"/>
    </row>
    <row r="377">
      <c r="A377" s="45"/>
    </row>
    <row r="378">
      <c r="A378" s="45"/>
    </row>
    <row r="379">
      <c r="A379" s="45"/>
    </row>
    <row r="380">
      <c r="A380" s="45"/>
    </row>
    <row r="381">
      <c r="A381" s="45"/>
    </row>
    <row r="382">
      <c r="A382" s="45"/>
    </row>
    <row r="383">
      <c r="A383" s="45"/>
    </row>
    <row r="384">
      <c r="A384" s="45"/>
    </row>
    <row r="385">
      <c r="A385" s="45"/>
    </row>
    <row r="386">
      <c r="A386" s="45"/>
    </row>
    <row r="387">
      <c r="A387" s="45"/>
    </row>
    <row r="388">
      <c r="A388" s="45"/>
    </row>
    <row r="389">
      <c r="A389" s="45"/>
    </row>
    <row r="390">
      <c r="A390" s="45"/>
    </row>
    <row r="391">
      <c r="A391" s="45"/>
    </row>
    <row r="392">
      <c r="A392" s="45"/>
    </row>
    <row r="393">
      <c r="A393" s="45"/>
    </row>
    <row r="394">
      <c r="A394" s="45"/>
    </row>
    <row r="395">
      <c r="A395" s="45"/>
    </row>
    <row r="396">
      <c r="A396" s="45"/>
    </row>
    <row r="397">
      <c r="A397" s="45"/>
    </row>
    <row r="398">
      <c r="A398" s="45"/>
    </row>
    <row r="399">
      <c r="A399" s="45"/>
    </row>
    <row r="400">
      <c r="A400" s="45"/>
    </row>
    <row r="401">
      <c r="A401" s="45"/>
    </row>
    <row r="402">
      <c r="A402" s="45"/>
    </row>
    <row r="403">
      <c r="A403" s="45"/>
    </row>
    <row r="404">
      <c r="A404" s="45"/>
    </row>
    <row r="405">
      <c r="A405" s="45"/>
    </row>
    <row r="406">
      <c r="A406" s="45"/>
    </row>
    <row r="407">
      <c r="A407" s="45"/>
    </row>
    <row r="408">
      <c r="A408" s="45"/>
    </row>
    <row r="409">
      <c r="A409" s="45"/>
    </row>
    <row r="410">
      <c r="A410" s="45"/>
    </row>
    <row r="411">
      <c r="A411" s="45"/>
    </row>
    <row r="412">
      <c r="A412" s="45"/>
    </row>
    <row r="413">
      <c r="A413" s="45"/>
    </row>
    <row r="414">
      <c r="A414" s="45"/>
    </row>
    <row r="415">
      <c r="A415" s="45"/>
    </row>
    <row r="416">
      <c r="A416" s="45"/>
    </row>
    <row r="417">
      <c r="A417" s="45"/>
    </row>
    <row r="418">
      <c r="A418" s="45"/>
    </row>
    <row r="419">
      <c r="A419" s="45"/>
    </row>
    <row r="420">
      <c r="A420" s="45"/>
    </row>
    <row r="421">
      <c r="A421" s="45"/>
    </row>
    <row r="422">
      <c r="A422" s="45"/>
    </row>
    <row r="423">
      <c r="A423" s="45"/>
    </row>
    <row r="424">
      <c r="A424" s="45"/>
    </row>
    <row r="425">
      <c r="A425" s="45"/>
    </row>
    <row r="426">
      <c r="A426" s="45"/>
    </row>
    <row r="427">
      <c r="A427" s="45"/>
    </row>
    <row r="428">
      <c r="A428" s="45"/>
    </row>
    <row r="429">
      <c r="A429" s="45"/>
    </row>
    <row r="430">
      <c r="A430" s="45"/>
    </row>
    <row r="431">
      <c r="A431" s="45"/>
    </row>
    <row r="432">
      <c r="A432" s="45"/>
    </row>
    <row r="433">
      <c r="A433" s="45"/>
    </row>
    <row r="434">
      <c r="A434" s="45"/>
    </row>
    <row r="435">
      <c r="A435" s="45"/>
    </row>
    <row r="436">
      <c r="A436" s="45"/>
    </row>
    <row r="437">
      <c r="A437" s="45"/>
    </row>
    <row r="438">
      <c r="A438" s="45"/>
    </row>
    <row r="439">
      <c r="A439" s="45"/>
    </row>
    <row r="440">
      <c r="A440" s="45"/>
    </row>
    <row r="441">
      <c r="A441" s="45"/>
    </row>
    <row r="442">
      <c r="A442" s="45"/>
    </row>
    <row r="443">
      <c r="A443" s="45"/>
    </row>
    <row r="444">
      <c r="A444" s="45"/>
    </row>
    <row r="445">
      <c r="A445" s="45"/>
    </row>
    <row r="446">
      <c r="A446" s="45"/>
    </row>
    <row r="447">
      <c r="A447" s="45"/>
    </row>
    <row r="448">
      <c r="A448" s="45"/>
    </row>
    <row r="449">
      <c r="A449" s="45"/>
    </row>
    <row r="450">
      <c r="A450" s="45"/>
    </row>
    <row r="451">
      <c r="A451" s="45"/>
    </row>
    <row r="452">
      <c r="A452" s="45"/>
    </row>
    <row r="453">
      <c r="A453" s="45"/>
    </row>
    <row r="454">
      <c r="A454" s="45"/>
    </row>
    <row r="455">
      <c r="A455" s="45"/>
    </row>
    <row r="456">
      <c r="A456" s="45"/>
    </row>
    <row r="457">
      <c r="A457" s="45"/>
    </row>
    <row r="458">
      <c r="A458" s="45"/>
    </row>
    <row r="459">
      <c r="A459" s="45"/>
    </row>
    <row r="460">
      <c r="A460" s="45"/>
    </row>
    <row r="461">
      <c r="A461" s="45"/>
    </row>
    <row r="462">
      <c r="A462" s="45"/>
    </row>
    <row r="463">
      <c r="A463" s="45"/>
    </row>
    <row r="464">
      <c r="A464" s="45"/>
    </row>
    <row r="465">
      <c r="A465" s="45"/>
    </row>
    <row r="466">
      <c r="A466" s="45"/>
    </row>
    <row r="467">
      <c r="A467" s="45"/>
    </row>
    <row r="468">
      <c r="A468" s="45"/>
    </row>
    <row r="469">
      <c r="A469" s="45"/>
    </row>
    <row r="470">
      <c r="A470" s="45"/>
    </row>
    <row r="471">
      <c r="A471" s="45"/>
    </row>
    <row r="472">
      <c r="A472" s="45"/>
    </row>
    <row r="473">
      <c r="A473" s="45"/>
    </row>
    <row r="474">
      <c r="A474" s="45"/>
    </row>
    <row r="475">
      <c r="A475" s="45"/>
    </row>
    <row r="476">
      <c r="A476" s="45"/>
    </row>
    <row r="477">
      <c r="A477" s="45"/>
    </row>
    <row r="478">
      <c r="A478" s="45"/>
    </row>
    <row r="479">
      <c r="A479" s="45"/>
    </row>
    <row r="480">
      <c r="A480" s="45"/>
    </row>
    <row r="481">
      <c r="A481" s="45"/>
    </row>
    <row r="482">
      <c r="A482" s="45"/>
    </row>
    <row r="483">
      <c r="A483" s="45"/>
    </row>
    <row r="484">
      <c r="A484" s="45"/>
    </row>
    <row r="485">
      <c r="A485" s="45"/>
    </row>
    <row r="486">
      <c r="A486" s="45"/>
    </row>
    <row r="487">
      <c r="A487" s="45"/>
    </row>
    <row r="488">
      <c r="A488" s="45"/>
    </row>
    <row r="489">
      <c r="A489" s="45"/>
    </row>
    <row r="490">
      <c r="A490" s="45"/>
    </row>
    <row r="491">
      <c r="A491" s="45"/>
    </row>
    <row r="492">
      <c r="A492" s="45"/>
    </row>
    <row r="493">
      <c r="A493" s="45"/>
    </row>
    <row r="494">
      <c r="A494" s="45"/>
    </row>
    <row r="495">
      <c r="A495" s="45"/>
    </row>
    <row r="496">
      <c r="A496" s="45"/>
    </row>
    <row r="497">
      <c r="A497" s="45"/>
    </row>
    <row r="498">
      <c r="A498" s="45"/>
    </row>
    <row r="499">
      <c r="A499" s="45"/>
    </row>
    <row r="500">
      <c r="A500" s="45"/>
    </row>
    <row r="501">
      <c r="A501" s="45"/>
    </row>
    <row r="502">
      <c r="A502" s="45"/>
    </row>
    <row r="503">
      <c r="A503" s="45"/>
    </row>
    <row r="504">
      <c r="A504" s="45"/>
    </row>
    <row r="505">
      <c r="A505" s="45"/>
    </row>
    <row r="506">
      <c r="A506" s="45"/>
    </row>
    <row r="507">
      <c r="A507" s="45"/>
    </row>
    <row r="508">
      <c r="A508" s="45"/>
    </row>
    <row r="509">
      <c r="A509" s="45"/>
    </row>
    <row r="510">
      <c r="A510" s="45"/>
    </row>
    <row r="511">
      <c r="A511" s="45"/>
    </row>
    <row r="512">
      <c r="A512" s="45"/>
    </row>
    <row r="513">
      <c r="A513" s="45"/>
    </row>
    <row r="514">
      <c r="A514" s="45"/>
    </row>
    <row r="515">
      <c r="A515" s="45"/>
    </row>
    <row r="516">
      <c r="A516" s="45"/>
    </row>
    <row r="517">
      <c r="A517" s="45"/>
    </row>
    <row r="518">
      <c r="A518" s="45"/>
    </row>
    <row r="519">
      <c r="A519" s="45"/>
    </row>
    <row r="520">
      <c r="A520" s="45"/>
    </row>
    <row r="521">
      <c r="A521" s="45"/>
    </row>
    <row r="522">
      <c r="A522" s="45"/>
    </row>
    <row r="523">
      <c r="A523" s="45"/>
    </row>
    <row r="524">
      <c r="A524" s="45"/>
    </row>
    <row r="525">
      <c r="A525" s="45"/>
    </row>
    <row r="526">
      <c r="A526" s="45"/>
    </row>
    <row r="527">
      <c r="A527" s="45"/>
    </row>
    <row r="528">
      <c r="A528" s="45"/>
    </row>
    <row r="529">
      <c r="A529" s="45"/>
    </row>
    <row r="530">
      <c r="A530" s="45"/>
    </row>
    <row r="531">
      <c r="A531" s="45"/>
    </row>
    <row r="532">
      <c r="A532" s="45"/>
    </row>
    <row r="533">
      <c r="A533" s="45"/>
    </row>
    <row r="534">
      <c r="A534" s="45"/>
    </row>
    <row r="535">
      <c r="A535" s="45"/>
    </row>
    <row r="536">
      <c r="A536" s="45"/>
    </row>
    <row r="537">
      <c r="A537" s="45"/>
    </row>
    <row r="538">
      <c r="A538" s="45"/>
    </row>
    <row r="539">
      <c r="A539" s="45"/>
    </row>
    <row r="540">
      <c r="A540" s="45"/>
    </row>
    <row r="541">
      <c r="A541" s="45"/>
    </row>
    <row r="542">
      <c r="A542" s="45"/>
    </row>
    <row r="543">
      <c r="A543" s="45"/>
    </row>
    <row r="544">
      <c r="A544" s="45"/>
    </row>
    <row r="545">
      <c r="A545" s="45"/>
    </row>
    <row r="546">
      <c r="A546" s="45"/>
    </row>
    <row r="547">
      <c r="A547" s="45"/>
    </row>
    <row r="548">
      <c r="A548" s="45"/>
    </row>
    <row r="549">
      <c r="A549" s="45"/>
    </row>
    <row r="550">
      <c r="A550" s="45"/>
    </row>
    <row r="551">
      <c r="A551" s="45"/>
    </row>
    <row r="552">
      <c r="A552" s="45"/>
    </row>
    <row r="553">
      <c r="A553" s="45"/>
    </row>
    <row r="554">
      <c r="A554" s="45"/>
    </row>
    <row r="555">
      <c r="A555" s="45"/>
    </row>
    <row r="556">
      <c r="A556" s="45"/>
    </row>
    <row r="557">
      <c r="A557" s="45"/>
    </row>
    <row r="558">
      <c r="A558" s="45"/>
    </row>
    <row r="559">
      <c r="A559" s="45"/>
    </row>
    <row r="560">
      <c r="A560" s="45"/>
    </row>
    <row r="561">
      <c r="A561" s="45"/>
    </row>
    <row r="562">
      <c r="A562" s="45"/>
    </row>
    <row r="563">
      <c r="A563" s="45"/>
    </row>
    <row r="564">
      <c r="A564" s="45"/>
    </row>
    <row r="565">
      <c r="A565" s="45"/>
    </row>
    <row r="566">
      <c r="A566" s="45"/>
    </row>
    <row r="567">
      <c r="A567" s="45"/>
    </row>
    <row r="568">
      <c r="A568" s="45"/>
    </row>
    <row r="569">
      <c r="A569" s="45"/>
    </row>
    <row r="570">
      <c r="A570" s="45"/>
    </row>
    <row r="571">
      <c r="A571" s="45"/>
    </row>
    <row r="572">
      <c r="A572" s="45"/>
    </row>
    <row r="573">
      <c r="A573" s="45"/>
    </row>
    <row r="574">
      <c r="A574" s="45"/>
    </row>
    <row r="575">
      <c r="A575" s="45"/>
    </row>
    <row r="576">
      <c r="A576" s="45"/>
    </row>
    <row r="577">
      <c r="A577" s="45"/>
    </row>
    <row r="578">
      <c r="A578" s="45"/>
    </row>
    <row r="579">
      <c r="A579" s="45"/>
    </row>
    <row r="580">
      <c r="A580" s="45"/>
    </row>
    <row r="581">
      <c r="A581" s="45"/>
    </row>
    <row r="582">
      <c r="A582" s="45"/>
    </row>
    <row r="583">
      <c r="A583" s="45"/>
    </row>
    <row r="584">
      <c r="A584" s="45"/>
    </row>
    <row r="585">
      <c r="A585" s="45"/>
    </row>
    <row r="586">
      <c r="A586" s="45"/>
    </row>
    <row r="587">
      <c r="A587" s="45"/>
    </row>
    <row r="588">
      <c r="A588" s="45"/>
    </row>
    <row r="589">
      <c r="A589" s="45"/>
    </row>
    <row r="590">
      <c r="A590" s="45"/>
    </row>
    <row r="591">
      <c r="A591" s="45"/>
    </row>
    <row r="592">
      <c r="A592" s="45"/>
    </row>
    <row r="593">
      <c r="A593" s="45"/>
    </row>
    <row r="594">
      <c r="A594" s="45"/>
    </row>
    <row r="595">
      <c r="A595" s="45"/>
    </row>
    <row r="596">
      <c r="A596" s="45"/>
    </row>
    <row r="597">
      <c r="A597" s="45"/>
    </row>
    <row r="598">
      <c r="A598" s="45"/>
    </row>
    <row r="599">
      <c r="A599" s="45"/>
    </row>
    <row r="600">
      <c r="A600" s="45"/>
    </row>
    <row r="601">
      <c r="A601" s="45"/>
    </row>
    <row r="602">
      <c r="A602" s="45"/>
    </row>
    <row r="603">
      <c r="A603" s="45"/>
    </row>
    <row r="604">
      <c r="A604" s="45"/>
    </row>
    <row r="605">
      <c r="A605" s="45"/>
    </row>
    <row r="606">
      <c r="A606" s="45"/>
    </row>
    <row r="607">
      <c r="A607" s="45"/>
    </row>
    <row r="608">
      <c r="A608" s="45"/>
    </row>
    <row r="609">
      <c r="A609" s="45"/>
    </row>
    <row r="610">
      <c r="A610" s="45"/>
    </row>
    <row r="611">
      <c r="A611" s="45"/>
    </row>
    <row r="612">
      <c r="A612" s="45"/>
    </row>
    <row r="613">
      <c r="A613" s="45"/>
    </row>
    <row r="614">
      <c r="A614" s="45"/>
    </row>
    <row r="615">
      <c r="A615" s="45"/>
    </row>
    <row r="616">
      <c r="A616" s="45"/>
    </row>
    <row r="617">
      <c r="A617" s="45"/>
    </row>
    <row r="618">
      <c r="A618" s="45"/>
    </row>
    <row r="619">
      <c r="A619" s="45"/>
    </row>
    <row r="620">
      <c r="A620" s="45"/>
    </row>
    <row r="621">
      <c r="A621" s="45"/>
    </row>
    <row r="622">
      <c r="A622" s="45"/>
    </row>
    <row r="623">
      <c r="A623" s="45"/>
    </row>
    <row r="624">
      <c r="A624" s="45"/>
    </row>
    <row r="625">
      <c r="A625" s="45"/>
    </row>
    <row r="626">
      <c r="A626" s="45"/>
    </row>
    <row r="627">
      <c r="A627" s="45"/>
    </row>
    <row r="628">
      <c r="A628" s="45"/>
    </row>
    <row r="629">
      <c r="A629" s="45"/>
    </row>
    <row r="630">
      <c r="A630" s="45"/>
    </row>
    <row r="631">
      <c r="A631" s="45"/>
    </row>
    <row r="632">
      <c r="A632" s="45"/>
    </row>
    <row r="633">
      <c r="A633" s="45"/>
    </row>
    <row r="634">
      <c r="A634" s="45"/>
    </row>
    <row r="635">
      <c r="A635" s="45"/>
    </row>
    <row r="636">
      <c r="A636" s="45"/>
    </row>
    <row r="637">
      <c r="A637" s="45"/>
    </row>
    <row r="638">
      <c r="A638" s="45"/>
    </row>
    <row r="639">
      <c r="A639" s="45"/>
    </row>
    <row r="640">
      <c r="A640" s="45"/>
    </row>
    <row r="641">
      <c r="A641" s="45"/>
    </row>
    <row r="642">
      <c r="A642" s="45"/>
    </row>
    <row r="643">
      <c r="A643" s="45"/>
    </row>
    <row r="644">
      <c r="A644" s="45"/>
    </row>
    <row r="645">
      <c r="A645" s="45"/>
    </row>
    <row r="646">
      <c r="A646" s="45"/>
    </row>
    <row r="647">
      <c r="A647" s="45"/>
    </row>
    <row r="648">
      <c r="A648" s="45"/>
    </row>
    <row r="649">
      <c r="A649" s="45"/>
    </row>
    <row r="650">
      <c r="A650" s="45"/>
    </row>
    <row r="651">
      <c r="A651" s="45"/>
    </row>
    <row r="652">
      <c r="A652" s="45"/>
    </row>
    <row r="653">
      <c r="A653" s="45"/>
    </row>
    <row r="654">
      <c r="A654" s="45"/>
    </row>
    <row r="655">
      <c r="A655" s="45"/>
    </row>
    <row r="656">
      <c r="A656" s="45"/>
    </row>
    <row r="657">
      <c r="A657" s="45"/>
    </row>
    <row r="658">
      <c r="A658" s="45"/>
    </row>
    <row r="659">
      <c r="A659" s="45"/>
    </row>
    <row r="660">
      <c r="A660" s="45"/>
    </row>
    <row r="661">
      <c r="A661" s="45"/>
    </row>
    <row r="662">
      <c r="A662" s="45"/>
    </row>
    <row r="663">
      <c r="A663" s="45"/>
    </row>
    <row r="664">
      <c r="A664" s="45"/>
    </row>
    <row r="665">
      <c r="A665" s="45"/>
    </row>
    <row r="666">
      <c r="A666" s="45"/>
    </row>
    <row r="667">
      <c r="A667" s="45"/>
    </row>
    <row r="668">
      <c r="A668" s="45"/>
    </row>
    <row r="669">
      <c r="A669" s="45"/>
    </row>
    <row r="670">
      <c r="A670" s="45"/>
    </row>
    <row r="671">
      <c r="A671" s="45"/>
    </row>
    <row r="672">
      <c r="A672" s="45"/>
    </row>
    <row r="673">
      <c r="A673" s="45"/>
    </row>
    <row r="674">
      <c r="A674" s="45"/>
    </row>
    <row r="675">
      <c r="A675" s="45"/>
    </row>
    <row r="676">
      <c r="A676" s="45"/>
    </row>
    <row r="677">
      <c r="A677" s="45"/>
    </row>
    <row r="678">
      <c r="A678" s="45"/>
    </row>
    <row r="679">
      <c r="A679" s="45"/>
    </row>
    <row r="680">
      <c r="A680" s="45"/>
    </row>
    <row r="681">
      <c r="A681" s="45"/>
    </row>
    <row r="682">
      <c r="A682" s="45"/>
    </row>
    <row r="683">
      <c r="A683" s="45"/>
    </row>
    <row r="684">
      <c r="A684" s="45"/>
    </row>
    <row r="685">
      <c r="A685" s="45"/>
    </row>
    <row r="686">
      <c r="A686" s="45"/>
    </row>
    <row r="687">
      <c r="A687" s="45"/>
    </row>
    <row r="688">
      <c r="A688" s="45"/>
    </row>
    <row r="689">
      <c r="A689" s="45"/>
    </row>
    <row r="690">
      <c r="A690" s="45"/>
    </row>
    <row r="691">
      <c r="A691" s="45"/>
    </row>
    <row r="692">
      <c r="A692" s="45"/>
    </row>
    <row r="693">
      <c r="A693" s="45"/>
    </row>
    <row r="694">
      <c r="A694" s="45"/>
    </row>
    <row r="695">
      <c r="A695" s="45"/>
    </row>
    <row r="696">
      <c r="A696" s="45"/>
    </row>
    <row r="697">
      <c r="A697" s="45"/>
    </row>
    <row r="698">
      <c r="A698" s="45"/>
    </row>
    <row r="699">
      <c r="A699" s="45"/>
    </row>
    <row r="700">
      <c r="A700" s="45"/>
    </row>
    <row r="701">
      <c r="A701" s="45"/>
    </row>
    <row r="702">
      <c r="A702" s="45"/>
    </row>
    <row r="703">
      <c r="A703" s="45"/>
    </row>
    <row r="704">
      <c r="A704" s="45"/>
    </row>
    <row r="705">
      <c r="A705" s="45"/>
    </row>
    <row r="706">
      <c r="A706" s="45"/>
    </row>
    <row r="707">
      <c r="A707" s="45"/>
    </row>
    <row r="708">
      <c r="A708" s="45"/>
    </row>
    <row r="709">
      <c r="A709" s="45"/>
    </row>
    <row r="710">
      <c r="A710" s="45"/>
    </row>
    <row r="711">
      <c r="A711" s="45"/>
    </row>
    <row r="712">
      <c r="A712" s="45"/>
    </row>
    <row r="713">
      <c r="A713" s="45"/>
    </row>
    <row r="714">
      <c r="A714" s="45"/>
    </row>
    <row r="715">
      <c r="A715" s="45"/>
    </row>
    <row r="716">
      <c r="A716" s="45"/>
    </row>
    <row r="717">
      <c r="A717" s="45"/>
    </row>
    <row r="718">
      <c r="A718" s="45"/>
    </row>
    <row r="719">
      <c r="A719" s="45"/>
    </row>
    <row r="720">
      <c r="A720" s="45"/>
    </row>
    <row r="721">
      <c r="A721" s="45"/>
    </row>
    <row r="722">
      <c r="A722" s="45"/>
    </row>
    <row r="723">
      <c r="A723" s="45"/>
    </row>
    <row r="724">
      <c r="A724" s="45"/>
    </row>
    <row r="725">
      <c r="A725" s="45"/>
    </row>
    <row r="726">
      <c r="A726" s="45"/>
    </row>
    <row r="727">
      <c r="A727" s="45"/>
    </row>
    <row r="728">
      <c r="A728" s="45"/>
    </row>
    <row r="729">
      <c r="A729" s="45"/>
    </row>
    <row r="730">
      <c r="A730" s="45"/>
    </row>
    <row r="731">
      <c r="A731" s="45"/>
    </row>
    <row r="732">
      <c r="A732" s="45"/>
    </row>
    <row r="733">
      <c r="A733" s="45"/>
    </row>
    <row r="734">
      <c r="A734" s="45"/>
    </row>
    <row r="735">
      <c r="A735" s="45"/>
    </row>
    <row r="736">
      <c r="A736" s="45"/>
    </row>
    <row r="737">
      <c r="A737" s="45"/>
    </row>
    <row r="738">
      <c r="A738" s="45"/>
    </row>
    <row r="739">
      <c r="A739" s="45"/>
    </row>
    <row r="740">
      <c r="A740" s="45"/>
    </row>
    <row r="741">
      <c r="A741" s="45"/>
    </row>
    <row r="742">
      <c r="A742" s="45"/>
    </row>
    <row r="743">
      <c r="A743" s="45"/>
    </row>
    <row r="744">
      <c r="A744" s="45"/>
    </row>
    <row r="745">
      <c r="A745" s="45"/>
    </row>
    <row r="746">
      <c r="A746" s="45"/>
    </row>
    <row r="747">
      <c r="A747" s="45"/>
    </row>
    <row r="748">
      <c r="A748" s="45"/>
    </row>
    <row r="749">
      <c r="A749" s="45"/>
    </row>
    <row r="750">
      <c r="A750" s="45"/>
    </row>
    <row r="751">
      <c r="A751" s="45"/>
    </row>
    <row r="752">
      <c r="A752" s="45"/>
    </row>
    <row r="753">
      <c r="A753" s="45"/>
    </row>
    <row r="754">
      <c r="A754" s="45"/>
    </row>
    <row r="755">
      <c r="A755" s="45"/>
    </row>
    <row r="756">
      <c r="A756" s="45"/>
    </row>
    <row r="757">
      <c r="A757" s="45"/>
    </row>
    <row r="758">
      <c r="A758" s="45"/>
    </row>
    <row r="759">
      <c r="A759" s="45"/>
    </row>
    <row r="760">
      <c r="A760" s="45"/>
    </row>
    <row r="761">
      <c r="A761" s="45"/>
    </row>
    <row r="762">
      <c r="A762" s="45"/>
    </row>
    <row r="763">
      <c r="A763" s="45"/>
    </row>
    <row r="764">
      <c r="A764" s="45"/>
    </row>
    <row r="765">
      <c r="A765" s="45"/>
    </row>
    <row r="766">
      <c r="A766" s="45"/>
    </row>
    <row r="767">
      <c r="A767" s="45"/>
    </row>
    <row r="768">
      <c r="A768" s="45"/>
    </row>
    <row r="769">
      <c r="A769" s="45"/>
    </row>
    <row r="770">
      <c r="A770" s="45"/>
    </row>
    <row r="771">
      <c r="A771" s="45"/>
    </row>
    <row r="772">
      <c r="A772" s="45"/>
    </row>
    <row r="773">
      <c r="A773" s="45"/>
    </row>
    <row r="774">
      <c r="A774" s="45"/>
    </row>
    <row r="775">
      <c r="A775" s="45"/>
    </row>
    <row r="776">
      <c r="A776" s="45"/>
    </row>
    <row r="777">
      <c r="A777" s="45"/>
    </row>
    <row r="778">
      <c r="A778" s="45"/>
    </row>
    <row r="779">
      <c r="A779" s="45"/>
    </row>
    <row r="780">
      <c r="A780" s="45"/>
    </row>
    <row r="781">
      <c r="A781" s="45"/>
    </row>
    <row r="782">
      <c r="A782" s="45"/>
    </row>
    <row r="783">
      <c r="A783" s="45"/>
    </row>
    <row r="784">
      <c r="A784" s="45"/>
    </row>
    <row r="785">
      <c r="A785" s="45"/>
    </row>
    <row r="786">
      <c r="A786" s="45"/>
    </row>
    <row r="787">
      <c r="A787" s="45"/>
    </row>
    <row r="788">
      <c r="A788" s="45"/>
    </row>
    <row r="789">
      <c r="A789" s="45"/>
    </row>
    <row r="790">
      <c r="A790" s="45"/>
    </row>
    <row r="791">
      <c r="A791" s="45"/>
    </row>
    <row r="792">
      <c r="A792" s="45"/>
    </row>
    <row r="793">
      <c r="A793" s="45"/>
    </row>
    <row r="794">
      <c r="A794" s="45"/>
    </row>
    <row r="795">
      <c r="A795" s="45"/>
    </row>
    <row r="796">
      <c r="A796" s="45"/>
    </row>
    <row r="797">
      <c r="A797" s="45"/>
    </row>
    <row r="798">
      <c r="A798" s="45"/>
    </row>
    <row r="799">
      <c r="A799" s="45"/>
    </row>
    <row r="800">
      <c r="A800" s="45"/>
    </row>
    <row r="801">
      <c r="A801" s="45"/>
    </row>
    <row r="802">
      <c r="A802" s="45"/>
    </row>
    <row r="803">
      <c r="A803" s="45"/>
    </row>
    <row r="804">
      <c r="A804" s="45"/>
    </row>
    <row r="805">
      <c r="A805" s="45"/>
    </row>
    <row r="806">
      <c r="A806" s="45"/>
    </row>
    <row r="807">
      <c r="A807" s="45"/>
    </row>
    <row r="808">
      <c r="A808" s="45"/>
    </row>
    <row r="809">
      <c r="A809" s="45"/>
    </row>
    <row r="810">
      <c r="A810" s="45"/>
    </row>
    <row r="811">
      <c r="A811" s="45"/>
    </row>
    <row r="812">
      <c r="A812" s="45"/>
    </row>
    <row r="813">
      <c r="A813" s="45"/>
    </row>
    <row r="814">
      <c r="A814" s="45"/>
    </row>
    <row r="815">
      <c r="A815" s="45"/>
    </row>
    <row r="816">
      <c r="A816" s="45"/>
    </row>
    <row r="817">
      <c r="A817" s="45"/>
    </row>
    <row r="818">
      <c r="A818" s="45"/>
    </row>
    <row r="819">
      <c r="A819" s="45"/>
    </row>
    <row r="820">
      <c r="A820" s="45"/>
    </row>
    <row r="821">
      <c r="A821" s="45"/>
    </row>
    <row r="822">
      <c r="A822" s="45"/>
    </row>
    <row r="823">
      <c r="A823" s="45"/>
    </row>
    <row r="824">
      <c r="A824" s="45"/>
    </row>
    <row r="825">
      <c r="A825" s="45"/>
    </row>
    <row r="826">
      <c r="A826" s="45"/>
    </row>
    <row r="827">
      <c r="A827" s="45"/>
    </row>
    <row r="828">
      <c r="A828" s="45"/>
    </row>
    <row r="829">
      <c r="A829" s="45"/>
    </row>
    <row r="830">
      <c r="A830" s="45"/>
    </row>
    <row r="831">
      <c r="A831" s="45"/>
    </row>
    <row r="832">
      <c r="A832" s="45"/>
    </row>
    <row r="833">
      <c r="A833" s="45"/>
    </row>
    <row r="834">
      <c r="A834" s="45"/>
    </row>
    <row r="835">
      <c r="A835" s="45"/>
    </row>
    <row r="836">
      <c r="A836" s="45"/>
    </row>
    <row r="837">
      <c r="A837" s="45"/>
    </row>
    <row r="838">
      <c r="A838" s="45"/>
    </row>
    <row r="839">
      <c r="A839" s="45"/>
    </row>
    <row r="840">
      <c r="A840" s="45"/>
    </row>
    <row r="841">
      <c r="A841" s="45"/>
    </row>
    <row r="842">
      <c r="A842" s="45"/>
    </row>
    <row r="843">
      <c r="A843" s="45"/>
    </row>
    <row r="844">
      <c r="A844" s="45"/>
    </row>
    <row r="845">
      <c r="A845" s="45"/>
    </row>
    <row r="846">
      <c r="A846" s="45"/>
    </row>
    <row r="847">
      <c r="A847" s="45"/>
    </row>
    <row r="848">
      <c r="A848" s="45"/>
    </row>
    <row r="849">
      <c r="A849" s="45"/>
    </row>
    <row r="850">
      <c r="A850" s="45"/>
    </row>
    <row r="851">
      <c r="A851" s="45"/>
    </row>
    <row r="852">
      <c r="A852" s="45"/>
    </row>
    <row r="853">
      <c r="A853" s="45"/>
    </row>
    <row r="854">
      <c r="A854" s="45"/>
    </row>
    <row r="855">
      <c r="A855" s="45"/>
    </row>
    <row r="856">
      <c r="A856" s="45"/>
    </row>
    <row r="857">
      <c r="A857" s="45"/>
    </row>
    <row r="858">
      <c r="A858" s="45"/>
    </row>
    <row r="859">
      <c r="A859" s="45"/>
    </row>
    <row r="860">
      <c r="A860" s="45"/>
    </row>
    <row r="861">
      <c r="A861" s="45"/>
    </row>
    <row r="862">
      <c r="A862" s="45"/>
    </row>
    <row r="863">
      <c r="A863" s="45"/>
    </row>
    <row r="864">
      <c r="A864" s="45"/>
    </row>
    <row r="865">
      <c r="A865" s="45"/>
    </row>
    <row r="866">
      <c r="A866" s="45"/>
    </row>
    <row r="867">
      <c r="A867" s="45"/>
    </row>
    <row r="868">
      <c r="A868" s="45"/>
    </row>
    <row r="869">
      <c r="A869" s="45"/>
    </row>
    <row r="870">
      <c r="A870" s="45"/>
    </row>
    <row r="871">
      <c r="A871" s="45"/>
    </row>
    <row r="872">
      <c r="A872" s="45"/>
    </row>
    <row r="873">
      <c r="A873" s="45"/>
    </row>
    <row r="874">
      <c r="A874" s="45"/>
    </row>
    <row r="875">
      <c r="A875" s="45"/>
    </row>
    <row r="876">
      <c r="A876" s="45"/>
    </row>
    <row r="877">
      <c r="A877" s="45"/>
    </row>
    <row r="878">
      <c r="A878" s="45"/>
    </row>
    <row r="879">
      <c r="A879" s="45"/>
    </row>
    <row r="880">
      <c r="A880" s="45"/>
    </row>
    <row r="881">
      <c r="A881" s="45"/>
    </row>
    <row r="882">
      <c r="A882" s="45"/>
    </row>
    <row r="883">
      <c r="A883" s="45"/>
    </row>
    <row r="884">
      <c r="A884" s="45"/>
    </row>
    <row r="885">
      <c r="A885" s="45"/>
    </row>
    <row r="886">
      <c r="A886" s="45"/>
    </row>
    <row r="887">
      <c r="A887" s="45"/>
    </row>
    <row r="888">
      <c r="A888" s="45"/>
    </row>
    <row r="889">
      <c r="A889" s="45"/>
    </row>
    <row r="890">
      <c r="A890" s="45"/>
    </row>
    <row r="891">
      <c r="A891" s="45"/>
    </row>
    <row r="892">
      <c r="A892" s="45"/>
    </row>
    <row r="893">
      <c r="A893" s="45"/>
    </row>
    <row r="894">
      <c r="A894" s="45"/>
    </row>
    <row r="895">
      <c r="A895" s="45"/>
    </row>
    <row r="896">
      <c r="A896" s="45"/>
    </row>
    <row r="897">
      <c r="A897" s="45"/>
    </row>
    <row r="898">
      <c r="A898" s="45"/>
    </row>
    <row r="899">
      <c r="A899" s="45"/>
    </row>
    <row r="900">
      <c r="A900" s="45"/>
    </row>
    <row r="901">
      <c r="A901" s="45"/>
    </row>
    <row r="902">
      <c r="A902" s="45"/>
    </row>
    <row r="903">
      <c r="A903" s="45"/>
    </row>
    <row r="904">
      <c r="A904" s="45"/>
    </row>
    <row r="905">
      <c r="A905" s="45"/>
    </row>
    <row r="906">
      <c r="A906" s="45"/>
    </row>
    <row r="907">
      <c r="A907" s="45"/>
    </row>
    <row r="908">
      <c r="A908" s="45"/>
    </row>
    <row r="909">
      <c r="A909" s="45"/>
    </row>
    <row r="910">
      <c r="A910" s="45"/>
    </row>
    <row r="911">
      <c r="A911" s="45"/>
    </row>
    <row r="912">
      <c r="A912" s="45"/>
    </row>
    <row r="913">
      <c r="A913" s="45"/>
    </row>
    <row r="914">
      <c r="A914" s="45"/>
    </row>
    <row r="915">
      <c r="A915" s="45"/>
    </row>
    <row r="916">
      <c r="A916" s="45"/>
    </row>
    <row r="917">
      <c r="A917" s="45"/>
    </row>
    <row r="918">
      <c r="A918" s="45"/>
    </row>
    <row r="919">
      <c r="A919" s="45"/>
    </row>
    <row r="920">
      <c r="A920" s="45"/>
    </row>
    <row r="921">
      <c r="A921" s="45"/>
    </row>
    <row r="922">
      <c r="A922" s="45"/>
    </row>
    <row r="923">
      <c r="A923" s="45"/>
    </row>
    <row r="924">
      <c r="A924" s="45"/>
    </row>
    <row r="925">
      <c r="A925" s="45"/>
    </row>
    <row r="926">
      <c r="A926" s="45"/>
    </row>
    <row r="927">
      <c r="A927" s="45"/>
    </row>
    <row r="928">
      <c r="A928" s="45"/>
    </row>
    <row r="929">
      <c r="A929" s="45"/>
    </row>
    <row r="930">
      <c r="A930" s="45"/>
    </row>
    <row r="931">
      <c r="A931" s="45"/>
    </row>
    <row r="932">
      <c r="A932" s="45"/>
    </row>
    <row r="933">
      <c r="A933" s="45"/>
    </row>
    <row r="934">
      <c r="A934" s="45"/>
    </row>
    <row r="935">
      <c r="A935" s="45"/>
    </row>
    <row r="936">
      <c r="A936" s="45"/>
    </row>
    <row r="937">
      <c r="A937" s="45"/>
    </row>
    <row r="938">
      <c r="A938" s="45"/>
    </row>
    <row r="939">
      <c r="A939" s="45"/>
    </row>
    <row r="940">
      <c r="A940" s="45"/>
    </row>
    <row r="941">
      <c r="A941" s="45"/>
    </row>
    <row r="942">
      <c r="A942" s="45"/>
    </row>
    <row r="943">
      <c r="A943" s="45"/>
    </row>
    <row r="944">
      <c r="A944" s="45"/>
    </row>
    <row r="945">
      <c r="A945" s="45"/>
    </row>
    <row r="946">
      <c r="A946" s="45"/>
    </row>
    <row r="947">
      <c r="A947" s="45"/>
    </row>
    <row r="948">
      <c r="A948" s="45"/>
    </row>
    <row r="949">
      <c r="A949" s="45"/>
    </row>
    <row r="950">
      <c r="A950" s="45"/>
    </row>
    <row r="951">
      <c r="A951" s="45"/>
    </row>
    <row r="952">
      <c r="A952" s="45"/>
    </row>
    <row r="953">
      <c r="A953" s="45"/>
    </row>
    <row r="954">
      <c r="A954" s="45"/>
    </row>
    <row r="955">
      <c r="A955" s="45"/>
    </row>
    <row r="956">
      <c r="A956" s="45"/>
    </row>
    <row r="957">
      <c r="A957" s="45"/>
    </row>
    <row r="958">
      <c r="A958" s="45"/>
    </row>
    <row r="959">
      <c r="A959" s="45"/>
    </row>
    <row r="960">
      <c r="A960" s="45"/>
    </row>
    <row r="961">
      <c r="A961" s="45"/>
    </row>
    <row r="962">
      <c r="A962" s="45"/>
    </row>
    <row r="963">
      <c r="A963" s="45"/>
    </row>
    <row r="964">
      <c r="A964" s="45"/>
    </row>
    <row r="965">
      <c r="A965" s="45"/>
    </row>
    <row r="966">
      <c r="A966" s="45"/>
    </row>
    <row r="967">
      <c r="A967" s="45"/>
    </row>
    <row r="968">
      <c r="A968" s="45"/>
    </row>
    <row r="969">
      <c r="A969" s="45"/>
    </row>
    <row r="970">
      <c r="A970" s="45"/>
    </row>
    <row r="971">
      <c r="A971" s="45"/>
    </row>
    <row r="972">
      <c r="A972" s="45"/>
    </row>
    <row r="973">
      <c r="A973" s="45"/>
    </row>
    <row r="974">
      <c r="A974" s="45"/>
    </row>
    <row r="975">
      <c r="A975" s="45"/>
    </row>
    <row r="976">
      <c r="A976" s="45"/>
    </row>
    <row r="977">
      <c r="A977" s="45"/>
    </row>
    <row r="978">
      <c r="A978" s="45"/>
    </row>
    <row r="979">
      <c r="A979" s="45"/>
    </row>
    <row r="980">
      <c r="A980" s="45"/>
    </row>
    <row r="981">
      <c r="A981" s="45"/>
    </row>
    <row r="982">
      <c r="A982" s="45"/>
    </row>
    <row r="983">
      <c r="A983" s="45"/>
    </row>
    <row r="984">
      <c r="A984" s="45"/>
    </row>
    <row r="985">
      <c r="A985" s="45"/>
    </row>
    <row r="986">
      <c r="A986" s="45"/>
    </row>
    <row r="987">
      <c r="A987" s="45"/>
    </row>
    <row r="988">
      <c r="A988" s="45"/>
    </row>
    <row r="989">
      <c r="A989" s="45"/>
    </row>
    <row r="990">
      <c r="A990" s="45"/>
    </row>
    <row r="991">
      <c r="A991" s="45"/>
    </row>
    <row r="992">
      <c r="A992" s="45"/>
    </row>
    <row r="993">
      <c r="A993" s="45"/>
    </row>
    <row r="994">
      <c r="A994" s="45"/>
    </row>
    <row r="995">
      <c r="A995" s="45"/>
    </row>
    <row r="996">
      <c r="A996" s="45"/>
    </row>
    <row r="997">
      <c r="A997" s="45"/>
    </row>
    <row r="998">
      <c r="A998" s="45"/>
    </row>
    <row r="999">
      <c r="A999" s="45"/>
    </row>
    <row r="1000">
      <c r="A1000" s="45"/>
    </row>
    <row r="1001">
      <c r="A1001" s="45"/>
    </row>
    <row r="1002">
      <c r="A1002" s="45"/>
    </row>
    <row r="1003">
      <c r="A1003" s="45"/>
    </row>
    <row r="1004">
      <c r="A1004" s="45"/>
    </row>
    <row r="1005">
      <c r="A1005" s="45"/>
    </row>
    <row r="1006">
      <c r="A1006" s="45"/>
    </row>
    <row r="1007">
      <c r="A1007" s="45"/>
    </row>
    <row r="1008">
      <c r="A1008" s="45"/>
    </row>
    <row r="1009">
      <c r="A1009" s="45"/>
    </row>
    <row r="1010">
      <c r="A1010" s="45"/>
    </row>
    <row r="1011">
      <c r="A1011" s="45"/>
    </row>
    <row r="1012">
      <c r="A1012" s="45"/>
    </row>
    <row r="1013">
      <c r="A1013" s="45"/>
    </row>
    <row r="1014">
      <c r="A1014" s="45"/>
    </row>
    <row r="1015">
      <c r="A1015" s="45"/>
    </row>
    <row r="1016">
      <c r="A1016" s="45"/>
    </row>
    <row r="1017">
      <c r="A1017" s="45"/>
    </row>
    <row r="1018">
      <c r="A1018" s="45"/>
    </row>
    <row r="1019">
      <c r="A1019" s="45"/>
    </row>
    <row r="1020">
      <c r="A1020" s="45"/>
    </row>
    <row r="1021">
      <c r="A1021" s="45"/>
    </row>
    <row r="1022">
      <c r="A1022" s="45"/>
    </row>
    <row r="1023">
      <c r="A1023" s="45"/>
    </row>
    <row r="1024">
      <c r="A1024" s="45"/>
    </row>
    <row r="1025">
      <c r="A1025" s="45"/>
    </row>
    <row r="1026">
      <c r="A1026" s="45"/>
    </row>
    <row r="1027">
      <c r="A1027" s="45"/>
    </row>
    <row r="1028">
      <c r="A1028" s="45"/>
    </row>
    <row r="1029">
      <c r="A1029" s="45"/>
    </row>
    <row r="1030">
      <c r="A1030" s="45"/>
    </row>
    <row r="1031">
      <c r="A1031" s="45"/>
    </row>
    <row r="1032">
      <c r="A1032" s="45"/>
    </row>
    <row r="1033">
      <c r="A1033" s="45"/>
    </row>
    <row r="1034">
      <c r="A1034" s="45"/>
    </row>
    <row r="1035">
      <c r="A1035" s="45"/>
    </row>
    <row r="1036">
      <c r="A1036" s="45"/>
    </row>
    <row r="1037">
      <c r="A1037" s="45"/>
    </row>
    <row r="1038">
      <c r="A1038" s="45"/>
    </row>
    <row r="1039">
      <c r="A1039" s="45"/>
    </row>
    <row r="1040">
      <c r="A1040" s="45"/>
    </row>
    <row r="1041">
      <c r="A1041" s="45"/>
    </row>
    <row r="1042">
      <c r="A1042" s="45"/>
    </row>
    <row r="1043">
      <c r="A1043" s="45"/>
    </row>
    <row r="1044">
      <c r="A1044" s="45"/>
    </row>
    <row r="1045">
      <c r="A1045" s="45"/>
    </row>
    <row r="1046">
      <c r="A1046" s="45"/>
    </row>
    <row r="1047">
      <c r="A1047" s="45"/>
    </row>
    <row r="1048">
      <c r="A1048" s="45"/>
    </row>
  </sheetData>
  <mergeCells count="23">
    <mergeCell ref="A40:E40"/>
    <mergeCell ref="A71:C71"/>
    <mergeCell ref="A86:D86"/>
    <mergeCell ref="E87:N87"/>
    <mergeCell ref="O87:Q87"/>
    <mergeCell ref="E88:N88"/>
    <mergeCell ref="O88:Q88"/>
    <mergeCell ref="E89:N89"/>
    <mergeCell ref="O89:Q89"/>
    <mergeCell ref="E90:N90"/>
    <mergeCell ref="O90:Q90"/>
    <mergeCell ref="E91:N91"/>
    <mergeCell ref="O91:Q91"/>
    <mergeCell ref="O92:Q92"/>
    <mergeCell ref="A202:D202"/>
    <mergeCell ref="A229:D229"/>
    <mergeCell ref="E92:N92"/>
    <mergeCell ref="E93:N93"/>
    <mergeCell ref="O93:Q93"/>
    <mergeCell ref="A95:D95"/>
    <mergeCell ref="E96:N96"/>
    <mergeCell ref="E97:N97"/>
    <mergeCell ref="A160:D160"/>
  </mergeCells>
  <hyperlinks>
    <hyperlink r:id="rId2" ref="O88"/>
    <hyperlink r:id="rId3" ref="O89"/>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11.88"/>
    <col customWidth="1" min="3" max="3" width="12.0"/>
    <col customWidth="1" min="4" max="4" width="10.38"/>
    <col customWidth="1" min="5" max="5" width="11.38"/>
    <col customWidth="1" min="6" max="6" width="12.0"/>
    <col customWidth="1" min="7" max="7" width="15.38"/>
    <col customWidth="1" min="8" max="8" width="13.63"/>
    <col customWidth="1" min="9" max="9" width="14.13"/>
    <col customWidth="1" min="10" max="10" width="14.63"/>
    <col customWidth="1" min="11" max="11" width="3.88"/>
  </cols>
  <sheetData>
    <row r="1">
      <c r="A1" s="160" t="s">
        <v>324</v>
      </c>
    </row>
    <row r="4">
      <c r="A4" s="161" t="s">
        <v>325</v>
      </c>
      <c r="B4" s="162">
        <v>6.0</v>
      </c>
      <c r="C4" s="79"/>
      <c r="D4" s="79"/>
    </row>
    <row r="5">
      <c r="A5" s="161" t="s">
        <v>326</v>
      </c>
      <c r="B5" s="162">
        <v>600.0</v>
      </c>
      <c r="C5" s="79"/>
      <c r="D5" s="162" t="s">
        <v>327</v>
      </c>
      <c r="I5" s="6" t="s">
        <v>328</v>
      </c>
    </row>
    <row r="6">
      <c r="A6" s="161" t="s">
        <v>329</v>
      </c>
      <c r="B6" s="162" t="s">
        <v>330</v>
      </c>
      <c r="C6" s="79"/>
      <c r="D6" s="79"/>
    </row>
    <row r="7">
      <c r="A7" s="161" t="s">
        <v>331</v>
      </c>
      <c r="B7" s="162">
        <v>27.0</v>
      </c>
      <c r="C7" s="79"/>
      <c r="D7" s="79"/>
    </row>
    <row r="8">
      <c r="A8" s="161" t="s">
        <v>332</v>
      </c>
      <c r="B8" s="162">
        <v>27.0</v>
      </c>
      <c r="C8" s="162"/>
      <c r="D8" s="79"/>
    </row>
    <row r="9">
      <c r="A9" s="161" t="s">
        <v>333</v>
      </c>
      <c r="B9" s="162">
        <v>18.0</v>
      </c>
      <c r="C9" s="162"/>
      <c r="D9" s="79"/>
    </row>
    <row r="10">
      <c r="A10" s="161" t="s">
        <v>11</v>
      </c>
      <c r="B10" s="163">
        <v>0.7</v>
      </c>
      <c r="C10" s="162"/>
      <c r="D10" s="79"/>
    </row>
    <row r="11">
      <c r="A11" s="162"/>
      <c r="B11" s="162"/>
      <c r="C11" s="162"/>
      <c r="D11" s="79"/>
    </row>
    <row r="12">
      <c r="A12" s="162"/>
      <c r="B12" s="162"/>
      <c r="C12" s="162"/>
      <c r="D12" s="79"/>
    </row>
    <row r="13">
      <c r="A13" s="10" t="s">
        <v>334</v>
      </c>
      <c r="B13" s="10" t="s">
        <v>335</v>
      </c>
      <c r="C13" s="10" t="s">
        <v>336</v>
      </c>
      <c r="D13" s="10" t="s">
        <v>337</v>
      </c>
      <c r="E13" s="10" t="s">
        <v>338</v>
      </c>
      <c r="F13" s="10" t="s">
        <v>339</v>
      </c>
      <c r="G13" s="10" t="s">
        <v>340</v>
      </c>
      <c r="H13" s="10" t="s">
        <v>341</v>
      </c>
      <c r="I13" s="10" t="s">
        <v>342</v>
      </c>
      <c r="J13" s="10" t="s">
        <v>343</v>
      </c>
      <c r="K13" s="10"/>
      <c r="L13" s="10" t="s">
        <v>344</v>
      </c>
      <c r="M13" s="10" t="s">
        <v>345</v>
      </c>
      <c r="N13" s="10" t="s">
        <v>346</v>
      </c>
      <c r="O13" s="10" t="s">
        <v>347</v>
      </c>
    </row>
    <row r="14">
      <c r="A14" s="27">
        <v>2017.0</v>
      </c>
      <c r="B14" s="67">
        <v>4500.0</v>
      </c>
      <c r="C14" s="67">
        <f t="shared" ref="C14:C18" si="1">B14*$B$10</f>
        <v>3150</v>
      </c>
      <c r="D14" s="67">
        <f t="shared" ref="D14:D18" si="2">B14-C14</f>
        <v>1350</v>
      </c>
      <c r="E14" s="23">
        <f t="shared" ref="E14:E18" si="3">D14/30</f>
        <v>45</v>
      </c>
      <c r="F14" s="164">
        <f t="shared" ref="F14:F18" si="4">E14/($B$4*30)</f>
        <v>0.25</v>
      </c>
      <c r="G14" s="23">
        <f t="shared" ref="G14:G18" si="5">$B$5*F14</f>
        <v>150</v>
      </c>
      <c r="H14" s="23">
        <f t="shared" ref="H14:H18" si="6">G14*30</f>
        <v>4500</v>
      </c>
      <c r="I14" s="23">
        <f t="shared" ref="I14:I18" si="7">H14*$B$4</f>
        <v>27000</v>
      </c>
      <c r="J14" s="23">
        <f t="shared" ref="J14:J18" si="8">I14*30</f>
        <v>810000</v>
      </c>
      <c r="K14" s="165"/>
      <c r="L14" s="165">
        <f t="shared" ref="L14:L18" si="9">J14/$B$9</f>
        <v>45000</v>
      </c>
      <c r="M14" s="165">
        <f t="shared" ref="M14:M18" si="10">I14/$B$9</f>
        <v>1500</v>
      </c>
      <c r="N14" s="165">
        <f t="shared" ref="N14:N18" si="11">M14/$B$4</f>
        <v>250</v>
      </c>
      <c r="O14" s="165">
        <f t="shared" ref="O14:O18" si="12">M14/12</f>
        <v>125</v>
      </c>
    </row>
    <row r="15">
      <c r="A15" s="30">
        <f t="shared" ref="A15:A18" si="13">A14+1</f>
        <v>2018</v>
      </c>
      <c r="B15" s="67">
        <v>21000.0</v>
      </c>
      <c r="C15" s="67">
        <f t="shared" si="1"/>
        <v>14700</v>
      </c>
      <c r="D15" s="67">
        <f t="shared" si="2"/>
        <v>6300</v>
      </c>
      <c r="E15" s="23">
        <f t="shared" si="3"/>
        <v>210</v>
      </c>
      <c r="F15" s="164">
        <f t="shared" si="4"/>
        <v>1.166666667</v>
      </c>
      <c r="G15" s="23">
        <f t="shared" si="5"/>
        <v>700</v>
      </c>
      <c r="H15" s="23">
        <f t="shared" si="6"/>
        <v>21000</v>
      </c>
      <c r="I15" s="23">
        <f t="shared" si="7"/>
        <v>126000</v>
      </c>
      <c r="J15" s="23">
        <f t="shared" si="8"/>
        <v>3780000</v>
      </c>
      <c r="K15" s="165"/>
      <c r="L15" s="165">
        <f t="shared" si="9"/>
        <v>210000</v>
      </c>
      <c r="M15" s="165">
        <f t="shared" si="10"/>
        <v>7000</v>
      </c>
      <c r="N15" s="165">
        <f t="shared" si="11"/>
        <v>1166.666667</v>
      </c>
      <c r="O15" s="165">
        <f t="shared" si="12"/>
        <v>583.3333333</v>
      </c>
    </row>
    <row r="16">
      <c r="A16" s="30">
        <f t="shared" si="13"/>
        <v>2019</v>
      </c>
      <c r="B16" s="67">
        <v>24000.0</v>
      </c>
      <c r="C16" s="67">
        <f t="shared" si="1"/>
        <v>16800</v>
      </c>
      <c r="D16" s="67">
        <f t="shared" si="2"/>
        <v>7200</v>
      </c>
      <c r="E16" s="23">
        <f t="shared" si="3"/>
        <v>240</v>
      </c>
      <c r="F16" s="164">
        <f t="shared" si="4"/>
        <v>1.333333333</v>
      </c>
      <c r="G16" s="23">
        <f t="shared" si="5"/>
        <v>800</v>
      </c>
      <c r="H16" s="23">
        <f t="shared" si="6"/>
        <v>24000</v>
      </c>
      <c r="I16" s="23">
        <f t="shared" si="7"/>
        <v>144000</v>
      </c>
      <c r="J16" s="23">
        <f t="shared" si="8"/>
        <v>4320000</v>
      </c>
      <c r="K16" s="165"/>
      <c r="L16" s="165">
        <f t="shared" si="9"/>
        <v>240000</v>
      </c>
      <c r="M16" s="165">
        <f t="shared" si="10"/>
        <v>8000</v>
      </c>
      <c r="N16" s="165">
        <f t="shared" si="11"/>
        <v>1333.333333</v>
      </c>
      <c r="O16" s="165">
        <f t="shared" si="12"/>
        <v>666.6666667</v>
      </c>
    </row>
    <row r="17">
      <c r="A17" s="30">
        <f t="shared" si="13"/>
        <v>2020</v>
      </c>
      <c r="B17" s="67">
        <v>600.0</v>
      </c>
      <c r="C17" s="67">
        <f t="shared" si="1"/>
        <v>420</v>
      </c>
      <c r="D17" s="67">
        <f t="shared" si="2"/>
        <v>180</v>
      </c>
      <c r="E17" s="23">
        <f t="shared" si="3"/>
        <v>6</v>
      </c>
      <c r="F17" s="164">
        <f t="shared" si="4"/>
        <v>0.03333333333</v>
      </c>
      <c r="G17" s="23">
        <f t="shared" si="5"/>
        <v>20</v>
      </c>
      <c r="H17" s="23">
        <f t="shared" si="6"/>
        <v>600</v>
      </c>
      <c r="I17" s="23">
        <f t="shared" si="7"/>
        <v>3600</v>
      </c>
      <c r="J17" s="23">
        <f t="shared" si="8"/>
        <v>108000</v>
      </c>
      <c r="K17" s="165"/>
      <c r="L17" s="165">
        <f t="shared" si="9"/>
        <v>6000</v>
      </c>
      <c r="M17" s="165">
        <f t="shared" si="10"/>
        <v>200</v>
      </c>
      <c r="N17" s="165">
        <f t="shared" si="11"/>
        <v>33.33333333</v>
      </c>
      <c r="O17" s="165">
        <f t="shared" si="12"/>
        <v>16.66666667</v>
      </c>
    </row>
    <row r="18">
      <c r="A18" s="30">
        <f t="shared" si="13"/>
        <v>2021</v>
      </c>
      <c r="B18" s="67">
        <v>27000.0</v>
      </c>
      <c r="C18" s="67">
        <f t="shared" si="1"/>
        <v>18900</v>
      </c>
      <c r="D18" s="67">
        <f t="shared" si="2"/>
        <v>8100</v>
      </c>
      <c r="E18" s="23">
        <f t="shared" si="3"/>
        <v>270</v>
      </c>
      <c r="F18" s="164">
        <f t="shared" si="4"/>
        <v>1.5</v>
      </c>
      <c r="G18" s="23">
        <f t="shared" si="5"/>
        <v>900</v>
      </c>
      <c r="H18" s="23">
        <f t="shared" si="6"/>
        <v>27000</v>
      </c>
      <c r="I18" s="23">
        <f t="shared" si="7"/>
        <v>162000</v>
      </c>
      <c r="J18" s="23">
        <f t="shared" si="8"/>
        <v>4860000</v>
      </c>
      <c r="K18" s="165"/>
      <c r="L18" s="165">
        <f t="shared" si="9"/>
        <v>270000</v>
      </c>
      <c r="M18" s="165">
        <f t="shared" si="10"/>
        <v>9000</v>
      </c>
      <c r="N18" s="165">
        <f t="shared" si="11"/>
        <v>1500</v>
      </c>
      <c r="O18" s="165">
        <f t="shared" si="12"/>
        <v>750</v>
      </c>
    </row>
    <row r="19">
      <c r="D19" s="17"/>
      <c r="J19" s="128"/>
    </row>
    <row r="20">
      <c r="A20" s="27" t="s">
        <v>348</v>
      </c>
      <c r="B20" s="166">
        <v>19350.0</v>
      </c>
      <c r="C20" s="67">
        <f>B20*$B$10</f>
        <v>13545</v>
      </c>
      <c r="D20" s="67">
        <f>B20-C20</f>
        <v>5805</v>
      </c>
      <c r="E20" s="23">
        <f>D20/$B$7</f>
        <v>215</v>
      </c>
      <c r="F20" s="164">
        <f>E20/($B$4*30)</f>
        <v>1.194444444</v>
      </c>
      <c r="G20" s="23">
        <f>$B$5*F20</f>
        <v>716.6666667</v>
      </c>
      <c r="H20" s="23">
        <f>G20*30</f>
        <v>21500</v>
      </c>
      <c r="I20" s="23">
        <f>H20*$B$4</f>
        <v>129000</v>
      </c>
      <c r="J20" s="167">
        <f>I20*B8</f>
        <v>3483000</v>
      </c>
      <c r="K20" s="165"/>
      <c r="L20" s="168">
        <f>J20/$B$9</f>
        <v>193500</v>
      </c>
      <c r="M20" s="165">
        <f>I20/$B$9</f>
        <v>7166.666667</v>
      </c>
      <c r="N20" s="165">
        <f>M20/$B$4</f>
        <v>1194.444444</v>
      </c>
      <c r="O20" s="165">
        <f>M20/12</f>
        <v>597.2222222</v>
      </c>
    </row>
    <row r="21">
      <c r="A21" s="79"/>
      <c r="B21" s="169"/>
      <c r="C21" s="79"/>
      <c r="D21" s="79"/>
      <c r="J21" s="170">
        <v>1600000.0</v>
      </c>
    </row>
    <row r="22">
      <c r="A22" s="79"/>
      <c r="B22" s="79"/>
      <c r="C22" s="79"/>
      <c r="D22" s="162"/>
      <c r="I22" s="6"/>
      <c r="J22" s="170">
        <f>J20+J21</f>
        <v>5083000</v>
      </c>
      <c r="L22" s="171">
        <f>J22/B9</f>
        <v>282388.8889</v>
      </c>
      <c r="M22" s="6"/>
      <c r="Q22" s="6"/>
    </row>
    <row r="23">
      <c r="A23" s="79"/>
      <c r="B23" s="79"/>
      <c r="C23" s="79"/>
      <c r="D23" s="162" t="s">
        <v>2</v>
      </c>
      <c r="F23" s="6" t="s">
        <v>2</v>
      </c>
      <c r="G23" s="6">
        <v>2026.0</v>
      </c>
      <c r="M23" s="6" t="s">
        <v>2</v>
      </c>
      <c r="Q23" s="6" t="s">
        <v>349</v>
      </c>
    </row>
    <row r="24">
      <c r="A24" s="28" t="s">
        <v>350</v>
      </c>
      <c r="B24" s="23">
        <f>90000*18</f>
        <v>1620000</v>
      </c>
      <c r="C24" s="79"/>
      <c r="G24" s="172" t="s">
        <v>351</v>
      </c>
      <c r="H24" s="23">
        <v>3780000.0</v>
      </c>
      <c r="I24" s="173">
        <f>H24/$B$9</f>
        <v>210000</v>
      </c>
    </row>
    <row r="25">
      <c r="A25" s="28" t="s">
        <v>352</v>
      </c>
      <c r="B25" s="23">
        <v>1620000.0</v>
      </c>
      <c r="C25" s="79"/>
      <c r="G25" s="28" t="s">
        <v>353</v>
      </c>
      <c r="H25" s="23">
        <v>15.0</v>
      </c>
      <c r="I25" s="31"/>
    </row>
    <row r="26">
      <c r="A26" s="28" t="s">
        <v>354</v>
      </c>
      <c r="B26" s="23">
        <f>B24+B25</f>
        <v>3240000</v>
      </c>
      <c r="C26" s="79"/>
      <c r="G26" s="28" t="s">
        <v>355</v>
      </c>
      <c r="H26" s="67">
        <f>H24/H25</f>
        <v>252000</v>
      </c>
      <c r="I26" s="173">
        <f>H26/$B$9</f>
        <v>14000</v>
      </c>
    </row>
    <row r="27">
      <c r="A27" s="28" t="s">
        <v>356</v>
      </c>
      <c r="B27" s="23">
        <v>10000.0</v>
      </c>
      <c r="C27" s="79"/>
      <c r="G27" s="27" t="s">
        <v>357</v>
      </c>
      <c r="H27" s="23">
        <v>6.0</v>
      </c>
      <c r="I27" s="31"/>
    </row>
    <row r="28">
      <c r="A28" s="28" t="s">
        <v>358</v>
      </c>
      <c r="B28" s="23">
        <v>200.0</v>
      </c>
      <c r="C28" s="79"/>
      <c r="D28" s="12"/>
      <c r="E28" s="12"/>
      <c r="F28" s="12"/>
      <c r="G28" s="27" t="s">
        <v>359</v>
      </c>
      <c r="H28" s="67">
        <f>H26/H27</f>
        <v>42000</v>
      </c>
      <c r="I28" s="173">
        <f>H28/$B$9</f>
        <v>2333.333333</v>
      </c>
    </row>
    <row r="29">
      <c r="A29" s="28"/>
      <c r="B29" s="23"/>
      <c r="C29" s="79"/>
      <c r="D29" s="12"/>
      <c r="E29" s="12"/>
      <c r="F29" s="12"/>
    </row>
    <row r="30">
      <c r="A30" s="28"/>
      <c r="B30" s="23"/>
      <c r="C30" s="79"/>
      <c r="D30" s="12"/>
      <c r="E30" s="12"/>
      <c r="F30" s="12"/>
      <c r="G30" s="6">
        <v>2027.0</v>
      </c>
    </row>
    <row r="31">
      <c r="A31" s="28" t="s">
        <v>360</v>
      </c>
      <c r="B31" s="23">
        <v>19350.0</v>
      </c>
      <c r="C31" s="79"/>
      <c r="D31" s="12"/>
      <c r="E31" s="12"/>
      <c r="F31" s="12"/>
      <c r="G31" s="172" t="s">
        <v>351</v>
      </c>
      <c r="H31" s="23">
        <v>3240000.0</v>
      </c>
      <c r="I31" s="173">
        <f>H31/$B$9</f>
        <v>180000</v>
      </c>
    </row>
    <row r="32">
      <c r="A32" s="28" t="s">
        <v>361</v>
      </c>
      <c r="B32" s="23">
        <f>B27*C32</f>
        <v>3240000</v>
      </c>
      <c r="C32" s="23">
        <f>B26/B27</f>
        <v>324</v>
      </c>
      <c r="D32" s="174"/>
      <c r="E32" s="174"/>
      <c r="F32" s="174"/>
      <c r="G32" s="28" t="s">
        <v>353</v>
      </c>
      <c r="H32" s="23">
        <v>15.0</v>
      </c>
      <c r="I32" s="31"/>
    </row>
    <row r="33">
      <c r="A33" s="28" t="s">
        <v>362</v>
      </c>
      <c r="B33" s="23">
        <f>(B31-B27)*B28</f>
        <v>1870000</v>
      </c>
      <c r="C33" s="23">
        <f>B28</f>
        <v>200</v>
      </c>
      <c r="D33" s="174"/>
      <c r="E33" s="174"/>
      <c r="F33" s="174"/>
      <c r="G33" s="28" t="s">
        <v>355</v>
      </c>
      <c r="H33" s="67">
        <f>H31/H32</f>
        <v>216000</v>
      </c>
      <c r="I33" s="173">
        <f>H33/$B$9</f>
        <v>12000</v>
      </c>
    </row>
    <row r="34">
      <c r="A34" s="28" t="s">
        <v>363</v>
      </c>
      <c r="B34" s="23">
        <f>SUM(B32:B33)</f>
        <v>5110000</v>
      </c>
      <c r="C34" s="23">
        <f>B34/B31</f>
        <v>264.0826873</v>
      </c>
      <c r="D34" s="170">
        <v>27.0</v>
      </c>
      <c r="E34" s="170">
        <f>B34/D34</f>
        <v>189259.2593</v>
      </c>
      <c r="F34" s="174"/>
      <c r="G34" s="27" t="s">
        <v>357</v>
      </c>
      <c r="H34" s="23">
        <v>12.0</v>
      </c>
      <c r="I34" s="31"/>
    </row>
    <row r="35">
      <c r="A35" s="175" t="s">
        <v>118</v>
      </c>
      <c r="B35" s="25">
        <f>B34/B9</f>
        <v>283888.8889</v>
      </c>
      <c r="C35" s="17"/>
      <c r="D35" s="174"/>
      <c r="E35" s="174"/>
      <c r="F35" s="174"/>
      <c r="G35" s="27" t="s">
        <v>359</v>
      </c>
      <c r="H35" s="67">
        <f>H33/H34</f>
        <v>18000</v>
      </c>
      <c r="I35" s="173">
        <f>H35/$B$9</f>
        <v>1000</v>
      </c>
    </row>
    <row r="37">
      <c r="D37" s="170"/>
      <c r="E37" s="170"/>
      <c r="F37" s="17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s>
  <sheetData>
    <row r="1">
      <c r="A1" s="176" t="s">
        <v>364</v>
      </c>
      <c r="B1" s="132"/>
      <c r="C1" s="132"/>
      <c r="D1" s="132"/>
      <c r="E1" s="132"/>
      <c r="F1" s="132"/>
      <c r="G1" s="132"/>
      <c r="H1" s="132"/>
      <c r="I1" s="132"/>
      <c r="J1" s="132"/>
      <c r="K1" s="132"/>
      <c r="L1" s="132"/>
    </row>
    <row r="2">
      <c r="A2" s="177" t="s">
        <v>247</v>
      </c>
      <c r="B2" s="134" t="s">
        <v>248</v>
      </c>
      <c r="C2" s="134" t="s">
        <v>249</v>
      </c>
      <c r="D2" s="134" t="s">
        <v>250</v>
      </c>
      <c r="E2" s="178" t="s">
        <v>295</v>
      </c>
      <c r="F2" s="179"/>
      <c r="G2" s="179"/>
      <c r="H2" s="132"/>
      <c r="I2" s="132"/>
      <c r="J2" s="132"/>
      <c r="K2" s="132"/>
      <c r="L2" s="132"/>
    </row>
    <row r="3">
      <c r="A3" s="180" t="s">
        <v>365</v>
      </c>
      <c r="B3" s="181">
        <v>11000.0</v>
      </c>
      <c r="C3" s="182">
        <v>6.0</v>
      </c>
      <c r="D3" s="181">
        <f t="shared" ref="D3:D11" si="1">B3*C3</f>
        <v>66000</v>
      </c>
      <c r="E3" s="183" t="s">
        <v>366</v>
      </c>
    </row>
    <row r="4">
      <c r="A4" s="180" t="s">
        <v>367</v>
      </c>
      <c r="B4" s="181">
        <v>12600.0</v>
      </c>
      <c r="C4" s="182">
        <v>1.0</v>
      </c>
      <c r="D4" s="181">
        <f t="shared" si="1"/>
        <v>12600</v>
      </c>
      <c r="E4" s="184" t="s">
        <v>368</v>
      </c>
    </row>
    <row r="5">
      <c r="A5" s="180" t="s">
        <v>319</v>
      </c>
      <c r="B5" s="185">
        <v>500.0</v>
      </c>
      <c r="C5" s="182">
        <v>6.0</v>
      </c>
      <c r="D5" s="181">
        <f t="shared" si="1"/>
        <v>3000</v>
      </c>
      <c r="E5" s="186" t="s">
        <v>369</v>
      </c>
    </row>
    <row r="6">
      <c r="A6" s="180" t="s">
        <v>269</v>
      </c>
      <c r="B6" s="181">
        <v>1000.0</v>
      </c>
      <c r="C6" s="182">
        <v>6.0</v>
      </c>
      <c r="D6" s="181">
        <f t="shared" si="1"/>
        <v>6000</v>
      </c>
      <c r="E6" s="186" t="s">
        <v>370</v>
      </c>
    </row>
    <row r="7">
      <c r="A7" s="180" t="s">
        <v>371</v>
      </c>
      <c r="B7" s="181">
        <v>39000.0</v>
      </c>
      <c r="C7" s="182">
        <v>1.0</v>
      </c>
      <c r="D7" s="181">
        <f t="shared" si="1"/>
        <v>39000</v>
      </c>
      <c r="E7" s="187" t="s">
        <v>372</v>
      </c>
    </row>
    <row r="8">
      <c r="A8" s="180" t="s">
        <v>373</v>
      </c>
      <c r="B8" s="181">
        <v>18196.0</v>
      </c>
      <c r="C8" s="182">
        <v>1.0</v>
      </c>
      <c r="D8" s="181">
        <f t="shared" si="1"/>
        <v>18196</v>
      </c>
      <c r="E8" s="184" t="s">
        <v>374</v>
      </c>
    </row>
    <row r="9">
      <c r="A9" s="180" t="s">
        <v>375</v>
      </c>
      <c r="B9" s="181">
        <v>8700.0</v>
      </c>
      <c r="C9" s="182">
        <v>1.0</v>
      </c>
      <c r="D9" s="181">
        <f t="shared" si="1"/>
        <v>8700</v>
      </c>
      <c r="E9" s="186" t="s">
        <v>376</v>
      </c>
    </row>
    <row r="10">
      <c r="A10" s="180" t="s">
        <v>377</v>
      </c>
      <c r="B10" s="181">
        <v>5000.0</v>
      </c>
      <c r="C10" s="182">
        <v>1.0</v>
      </c>
      <c r="D10" s="181">
        <f t="shared" si="1"/>
        <v>5000</v>
      </c>
      <c r="E10" s="186" t="s">
        <v>378</v>
      </c>
    </row>
    <row r="11">
      <c r="A11" s="180" t="s">
        <v>379</v>
      </c>
      <c r="B11" s="181">
        <v>10000.0</v>
      </c>
      <c r="C11" s="182">
        <v>1.0</v>
      </c>
      <c r="D11" s="181">
        <f t="shared" si="1"/>
        <v>10000</v>
      </c>
      <c r="E11" s="188" t="s">
        <v>380</v>
      </c>
      <c r="F11" s="189"/>
      <c r="G11" s="189"/>
      <c r="H11" s="189"/>
      <c r="I11" s="189"/>
      <c r="J11" s="189"/>
      <c r="K11" s="189"/>
      <c r="L11" s="189"/>
    </row>
    <row r="12">
      <c r="A12" s="190"/>
      <c r="B12" s="132"/>
      <c r="C12" s="140" t="s">
        <v>250</v>
      </c>
      <c r="D12" s="191">
        <f>SUM(D3:D11)</f>
        <v>168496</v>
      </c>
      <c r="E12" s="132"/>
      <c r="F12" s="132"/>
      <c r="G12" s="132"/>
      <c r="H12" s="132"/>
      <c r="I12" s="132"/>
      <c r="J12" s="132"/>
      <c r="K12" s="132"/>
      <c r="L12" s="132"/>
    </row>
    <row r="13">
      <c r="A13" s="190"/>
      <c r="B13" s="132"/>
      <c r="C13" s="140" t="s">
        <v>274</v>
      </c>
      <c r="D13" s="191">
        <f>D12*0.16</f>
        <v>26959.36</v>
      </c>
      <c r="E13" s="132"/>
      <c r="F13" s="132"/>
      <c r="G13" s="132"/>
      <c r="H13" s="132"/>
      <c r="I13" s="132"/>
      <c r="J13" s="132"/>
      <c r="K13" s="132"/>
      <c r="L13" s="132"/>
    </row>
    <row r="14">
      <c r="A14" s="190"/>
      <c r="B14" s="132"/>
      <c r="C14" s="140" t="s">
        <v>189</v>
      </c>
      <c r="D14" s="191">
        <f>SUM(D12:D13)</f>
        <v>195455.36</v>
      </c>
      <c r="E14" s="135" t="s">
        <v>381</v>
      </c>
      <c r="F14" s="132"/>
      <c r="G14" s="132"/>
      <c r="H14" s="132"/>
      <c r="I14" s="132"/>
      <c r="J14" s="132"/>
      <c r="K14" s="132"/>
      <c r="L14" s="132"/>
    </row>
  </sheetData>
  <mergeCells count="8">
    <mergeCell ref="E3:L3"/>
    <mergeCell ref="E4:L4"/>
    <mergeCell ref="E5:L5"/>
    <mergeCell ref="E6:L6"/>
    <mergeCell ref="E7:L7"/>
    <mergeCell ref="E8:L8"/>
    <mergeCell ref="E9:L9"/>
    <mergeCell ref="E10:L1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13"/>
    <col customWidth="1" min="2" max="2" width="14.63"/>
    <col customWidth="1" min="3" max="3" width="12.25"/>
    <col customWidth="1" min="7" max="7" width="10.13"/>
    <col customWidth="1" min="8" max="8" width="9.25"/>
  </cols>
  <sheetData>
    <row r="1"/>
    <row r="2" hidden="1"/>
    <row r="3" hidden="1"/>
    <row r="4" hidden="1"/>
    <row r="5" hidden="1"/>
    <row r="6" hidden="1"/>
    <row r="7" hidden="1"/>
    <row r="8" hidden="1"/>
    <row r="9" hidden="1"/>
    <row r="10" hidden="1"/>
    <row r="11" hidden="1"/>
    <row r="12" hidden="1"/>
    <row r="13" hidden="1"/>
    <row r="14" hidden="1"/>
    <row r="15" hidden="1"/>
    <row r="16" hidden="1"/>
    <row r="17" hidden="1"/>
    <row r="18" hidden="1"/>
    <row r="19"/>
    <row r="24">
      <c r="A24" s="201" t="s">
        <v>387</v>
      </c>
      <c r="B24" s="202">
        <v>11051.0</v>
      </c>
      <c r="C24" s="203">
        <v>416340.0</v>
      </c>
      <c r="D24" s="204">
        <v>124902.0</v>
      </c>
      <c r="E24" s="205">
        <v>90000.0</v>
      </c>
      <c r="F24" s="203">
        <v>214902.0</v>
      </c>
      <c r="G24" s="206">
        <v>829.0</v>
      </c>
      <c r="H24" s="206">
        <v>138.0</v>
      </c>
    </row>
    <row r="25">
      <c r="A25" s="201" t="s">
        <v>388</v>
      </c>
      <c r="B25" s="202">
        <v>11051.0</v>
      </c>
      <c r="C25" s="203">
        <v>277560.0</v>
      </c>
      <c r="D25" s="205">
        <v>83268.0</v>
      </c>
      <c r="E25" s="205">
        <v>90000.0</v>
      </c>
      <c r="F25" s="203">
        <v>173268.0</v>
      </c>
      <c r="G25" s="206">
        <v>829.0</v>
      </c>
      <c r="H25" s="206">
        <v>138.0</v>
      </c>
    </row>
    <row r="26">
      <c r="A26" s="201" t="s">
        <v>389</v>
      </c>
      <c r="B26" s="202" t="s">
        <v>2</v>
      </c>
      <c r="C26" s="203">
        <f t="shared" ref="C26:D26" si="1">-(C24-C25)</f>
        <v>-138780</v>
      </c>
      <c r="D26" s="205">
        <f t="shared" si="1"/>
        <v>-41634</v>
      </c>
      <c r="E26" s="205">
        <f>E24-E25</f>
        <v>0</v>
      </c>
      <c r="F26" s="203">
        <f>-(F24-F25)</f>
        <v>-41634</v>
      </c>
      <c r="G26" s="206">
        <v>829.0</v>
      </c>
      <c r="H26" s="206">
        <v>138.0</v>
      </c>
    </row>
    <row r="27">
      <c r="A27" s="201" t="s">
        <v>390</v>
      </c>
      <c r="B27" s="202" t="s">
        <v>2</v>
      </c>
      <c r="C27" s="207">
        <f>C26/C24</f>
        <v>-0.3333333333</v>
      </c>
      <c r="D27" s="205">
        <f>-(D25-D26)</f>
        <v>-124902</v>
      </c>
      <c r="E27" s="208">
        <v>0.0</v>
      </c>
      <c r="F27" s="207">
        <f>F26/F24</f>
        <v>-0.1937348187</v>
      </c>
      <c r="G27" s="206">
        <v>829.0</v>
      </c>
      <c r="H27" s="206">
        <v>138.0</v>
      </c>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0"/>
    <col customWidth="1" min="7" max="7" width="13.25"/>
    <col customWidth="1" min="9" max="9" width="13.88"/>
  </cols>
  <sheetData>
    <row r="1">
      <c r="A1" s="209" t="s">
        <v>391</v>
      </c>
    </row>
    <row r="2">
      <c r="A2" s="6" t="s">
        <v>392</v>
      </c>
    </row>
    <row r="5">
      <c r="A5" s="10" t="s">
        <v>393</v>
      </c>
      <c r="B5" s="13" t="b">
        <v>1</v>
      </c>
    </row>
    <row r="6">
      <c r="A6" s="65" t="s">
        <v>13</v>
      </c>
      <c r="B6" s="65">
        <v>2017.0</v>
      </c>
      <c r="C6" s="65">
        <v>2018.0</v>
      </c>
      <c r="D6" s="65">
        <v>2019.0</v>
      </c>
      <c r="E6" s="65">
        <v>2020.0</v>
      </c>
      <c r="F6" s="65" t="s">
        <v>394</v>
      </c>
      <c r="G6" s="10" t="s">
        <v>395</v>
      </c>
      <c r="H6" s="10" t="s">
        <v>396</v>
      </c>
      <c r="I6" s="10" t="s">
        <v>397</v>
      </c>
    </row>
    <row r="7">
      <c r="A7" s="210" t="s">
        <v>398</v>
      </c>
      <c r="B7" s="124">
        <f t="shared" ref="B7:F7" si="1">if($B$5,B$26,B$25)</f>
        <v>3026.28</v>
      </c>
      <c r="C7" s="124">
        <f t="shared" si="1"/>
        <v>17261.03</v>
      </c>
      <c r="D7" s="124">
        <f t="shared" si="1"/>
        <v>17934.9</v>
      </c>
      <c r="E7" s="124">
        <f t="shared" si="1"/>
        <v>317</v>
      </c>
      <c r="F7" s="124">
        <f t="shared" si="1"/>
        <v>7235</v>
      </c>
      <c r="G7" s="211">
        <f t="shared" ref="G7:G26" si="3">sum(B7:F7)</f>
        <v>45774.21</v>
      </c>
      <c r="H7" s="211">
        <f t="shared" ref="H7:H24" si="4">sum(B7:F7)/5</f>
        <v>9154.842</v>
      </c>
      <c r="I7" s="13" t="s">
        <v>399</v>
      </c>
    </row>
    <row r="8">
      <c r="A8" s="210" t="s">
        <v>33</v>
      </c>
      <c r="B8" s="124">
        <f t="shared" ref="B8:F8" si="2">if($B$5,B$26,B$25)</f>
        <v>3026.28</v>
      </c>
      <c r="C8" s="124">
        <f t="shared" si="2"/>
        <v>17261.03</v>
      </c>
      <c r="D8" s="124">
        <f t="shared" si="2"/>
        <v>17934.9</v>
      </c>
      <c r="E8" s="124">
        <f t="shared" si="2"/>
        <v>317</v>
      </c>
      <c r="F8" s="124">
        <f t="shared" si="2"/>
        <v>7235</v>
      </c>
      <c r="G8" s="211">
        <f t="shared" si="3"/>
        <v>45774.21</v>
      </c>
      <c r="H8" s="211">
        <f t="shared" si="4"/>
        <v>9154.842</v>
      </c>
      <c r="I8" s="13" t="s">
        <v>399</v>
      </c>
    </row>
    <row r="9">
      <c r="A9" s="212" t="s">
        <v>34</v>
      </c>
      <c r="B9" s="124">
        <f t="shared" ref="B9:F9" si="5">if($B$5,B$26,B$25)</f>
        <v>3026.28</v>
      </c>
      <c r="C9" s="124">
        <f t="shared" si="5"/>
        <v>17261.03</v>
      </c>
      <c r="D9" s="124">
        <f t="shared" si="5"/>
        <v>17934.9</v>
      </c>
      <c r="E9" s="124">
        <f t="shared" si="5"/>
        <v>317</v>
      </c>
      <c r="F9" s="124">
        <f t="shared" si="5"/>
        <v>7235</v>
      </c>
      <c r="G9" s="211">
        <f t="shared" si="3"/>
        <v>45774.21</v>
      </c>
      <c r="H9" s="211">
        <f t="shared" si="4"/>
        <v>9154.842</v>
      </c>
      <c r="I9" s="13" t="s">
        <v>399</v>
      </c>
    </row>
    <row r="10">
      <c r="A10" s="210" t="s">
        <v>35</v>
      </c>
      <c r="B10" s="124">
        <f t="shared" ref="B10:F10" si="6">if($B$5,B$26,B$25)</f>
        <v>3026.28</v>
      </c>
      <c r="C10" s="124">
        <f t="shared" si="6"/>
        <v>17261.03</v>
      </c>
      <c r="D10" s="124">
        <f t="shared" si="6"/>
        <v>17934.9</v>
      </c>
      <c r="E10" s="124">
        <f t="shared" si="6"/>
        <v>317</v>
      </c>
      <c r="F10" s="124">
        <f t="shared" si="6"/>
        <v>7235</v>
      </c>
      <c r="G10" s="211">
        <f t="shared" si="3"/>
        <v>45774.21</v>
      </c>
      <c r="H10" s="211">
        <f t="shared" si="4"/>
        <v>9154.842</v>
      </c>
      <c r="I10" s="13" t="s">
        <v>399</v>
      </c>
    </row>
    <row r="11">
      <c r="A11" s="212" t="s">
        <v>36</v>
      </c>
      <c r="B11" s="124">
        <f t="shared" ref="B11:F11" si="7">if($B$5,B$26,B$25)</f>
        <v>3026.28</v>
      </c>
      <c r="C11" s="124">
        <f t="shared" si="7"/>
        <v>17261.03</v>
      </c>
      <c r="D11" s="124">
        <f t="shared" si="7"/>
        <v>17934.9</v>
      </c>
      <c r="E11" s="124">
        <f t="shared" si="7"/>
        <v>317</v>
      </c>
      <c r="F11" s="124">
        <f t="shared" si="7"/>
        <v>7235</v>
      </c>
      <c r="G11" s="211">
        <f t="shared" si="3"/>
        <v>45774.21</v>
      </c>
      <c r="H11" s="211">
        <f t="shared" si="4"/>
        <v>9154.842</v>
      </c>
      <c r="I11" s="13" t="s">
        <v>399</v>
      </c>
    </row>
    <row r="12">
      <c r="A12" s="212" t="s">
        <v>37</v>
      </c>
      <c r="B12" s="124">
        <f t="shared" ref="B12:F12" si="8">if($B$5,B$26,B$25)</f>
        <v>3026.28</v>
      </c>
      <c r="C12" s="124">
        <f t="shared" si="8"/>
        <v>17261.03</v>
      </c>
      <c r="D12" s="124">
        <f t="shared" si="8"/>
        <v>17934.9</v>
      </c>
      <c r="E12" s="124">
        <f t="shared" si="8"/>
        <v>317</v>
      </c>
      <c r="F12" s="124">
        <f t="shared" si="8"/>
        <v>7235</v>
      </c>
      <c r="G12" s="211">
        <f t="shared" si="3"/>
        <v>45774.21</v>
      </c>
      <c r="H12" s="211">
        <f t="shared" si="4"/>
        <v>9154.842</v>
      </c>
      <c r="I12" s="13" t="s">
        <v>399</v>
      </c>
    </row>
    <row r="13">
      <c r="A13" s="212" t="s">
        <v>38</v>
      </c>
      <c r="B13" s="124">
        <f t="shared" ref="B13:F13" si="9">if($B$5,B$26,B$25)</f>
        <v>3026.28</v>
      </c>
      <c r="C13" s="124">
        <f t="shared" si="9"/>
        <v>17261.03</v>
      </c>
      <c r="D13" s="124">
        <f t="shared" si="9"/>
        <v>17934.9</v>
      </c>
      <c r="E13" s="124">
        <f t="shared" si="9"/>
        <v>317</v>
      </c>
      <c r="F13" s="124">
        <f t="shared" si="9"/>
        <v>7235</v>
      </c>
      <c r="G13" s="211">
        <f t="shared" si="3"/>
        <v>45774.21</v>
      </c>
      <c r="H13" s="211">
        <f t="shared" si="4"/>
        <v>9154.842</v>
      </c>
      <c r="I13" s="13" t="s">
        <v>399</v>
      </c>
    </row>
    <row r="14">
      <c r="A14" s="213" t="s">
        <v>39</v>
      </c>
      <c r="B14" s="214">
        <v>4080.0</v>
      </c>
      <c r="C14" s="214">
        <v>23000.0</v>
      </c>
      <c r="D14" s="214">
        <v>57114.0</v>
      </c>
      <c r="E14" s="214">
        <v>317.0</v>
      </c>
      <c r="F14" s="214">
        <v>7000.0</v>
      </c>
      <c r="G14" s="215">
        <f t="shared" si="3"/>
        <v>91511</v>
      </c>
      <c r="H14" s="215">
        <f t="shared" si="4"/>
        <v>18302.2</v>
      </c>
      <c r="I14" s="216" t="s">
        <v>400</v>
      </c>
    </row>
    <row r="15">
      <c r="A15" s="212" t="s">
        <v>40</v>
      </c>
      <c r="B15" s="124">
        <f t="shared" ref="B15:F15" si="10">if($B$5,B$26,B$25)</f>
        <v>3026.28</v>
      </c>
      <c r="C15" s="124">
        <f t="shared" si="10"/>
        <v>17261.03</v>
      </c>
      <c r="D15" s="124">
        <f t="shared" si="10"/>
        <v>17934.9</v>
      </c>
      <c r="E15" s="124">
        <f t="shared" si="10"/>
        <v>317</v>
      </c>
      <c r="F15" s="124">
        <f t="shared" si="10"/>
        <v>7235</v>
      </c>
      <c r="G15" s="211">
        <f t="shared" si="3"/>
        <v>45774.21</v>
      </c>
      <c r="H15" s="211">
        <f t="shared" si="4"/>
        <v>9154.842</v>
      </c>
      <c r="I15" s="13" t="s">
        <v>399</v>
      </c>
    </row>
    <row r="16">
      <c r="A16" s="212" t="s">
        <v>41</v>
      </c>
      <c r="B16" s="124">
        <f t="shared" ref="B16:F16" si="11">if($B$5,B$26,B$25)</f>
        <v>3026.28</v>
      </c>
      <c r="C16" s="124">
        <f t="shared" si="11"/>
        <v>17261.03</v>
      </c>
      <c r="D16" s="124">
        <f t="shared" si="11"/>
        <v>17934.9</v>
      </c>
      <c r="E16" s="124">
        <f t="shared" si="11"/>
        <v>317</v>
      </c>
      <c r="F16" s="124">
        <f t="shared" si="11"/>
        <v>7235</v>
      </c>
      <c r="G16" s="211">
        <f t="shared" si="3"/>
        <v>45774.21</v>
      </c>
      <c r="H16" s="211">
        <f t="shared" si="4"/>
        <v>9154.842</v>
      </c>
      <c r="I16" s="13" t="s">
        <v>399</v>
      </c>
    </row>
    <row r="17">
      <c r="A17" s="213" t="s">
        <v>42</v>
      </c>
      <c r="B17" s="217">
        <v>3026.28</v>
      </c>
      <c r="C17" s="217">
        <v>17261.03</v>
      </c>
      <c r="D17" s="218">
        <v>17934.9</v>
      </c>
      <c r="E17" s="217">
        <v>819.0</v>
      </c>
      <c r="F17" s="214">
        <f>7250</f>
        <v>7250</v>
      </c>
      <c r="G17" s="215">
        <f t="shared" si="3"/>
        <v>46291.21</v>
      </c>
      <c r="H17" s="215">
        <f t="shared" si="4"/>
        <v>9258.242</v>
      </c>
      <c r="I17" s="216" t="s">
        <v>400</v>
      </c>
    </row>
    <row r="18">
      <c r="A18" s="212" t="s">
        <v>43</v>
      </c>
      <c r="B18" s="124">
        <f t="shared" ref="B18:F18" si="12">if($B$5,B$26,B$25)</f>
        <v>3026.28</v>
      </c>
      <c r="C18" s="124">
        <f t="shared" si="12"/>
        <v>17261.03</v>
      </c>
      <c r="D18" s="124">
        <f t="shared" si="12"/>
        <v>17934.9</v>
      </c>
      <c r="E18" s="124">
        <f t="shared" si="12"/>
        <v>317</v>
      </c>
      <c r="F18" s="124">
        <f t="shared" si="12"/>
        <v>7235</v>
      </c>
      <c r="G18" s="211">
        <f t="shared" si="3"/>
        <v>45774.21</v>
      </c>
      <c r="H18" s="211">
        <f t="shared" si="4"/>
        <v>9154.842</v>
      </c>
      <c r="I18" s="13" t="s">
        <v>399</v>
      </c>
    </row>
    <row r="19">
      <c r="A19" s="212" t="s">
        <v>44</v>
      </c>
      <c r="B19" s="124">
        <f t="shared" ref="B19:F19" si="13">if($B$5,B$26,B$25)</f>
        <v>3026.28</v>
      </c>
      <c r="C19" s="124">
        <f t="shared" si="13"/>
        <v>17261.03</v>
      </c>
      <c r="D19" s="124">
        <f t="shared" si="13"/>
        <v>17934.9</v>
      </c>
      <c r="E19" s="124">
        <f t="shared" si="13"/>
        <v>317</v>
      </c>
      <c r="F19" s="124">
        <f t="shared" si="13"/>
        <v>7235</v>
      </c>
      <c r="G19" s="211">
        <f t="shared" si="3"/>
        <v>45774.21</v>
      </c>
      <c r="H19" s="211">
        <f t="shared" si="4"/>
        <v>9154.842</v>
      </c>
      <c r="I19" s="13" t="s">
        <v>399</v>
      </c>
    </row>
    <row r="20">
      <c r="A20" s="213" t="s">
        <v>45</v>
      </c>
      <c r="B20" s="124">
        <f t="shared" ref="B20:C20" si="14">if($B$5,B$26,B$25)</f>
        <v>3026.28</v>
      </c>
      <c r="C20" s="124">
        <f t="shared" si="14"/>
        <v>17261.03</v>
      </c>
      <c r="D20" s="215">
        <f>Fortuna!N7</f>
        <v>3825</v>
      </c>
      <c r="E20" s="215">
        <f>Fortuna!N8</f>
        <v>450</v>
      </c>
      <c r="F20" s="214">
        <f>Fortuna!N9</f>
        <v>7235</v>
      </c>
      <c r="G20" s="215">
        <f t="shared" si="3"/>
        <v>31797.31</v>
      </c>
      <c r="H20" s="215">
        <f t="shared" si="4"/>
        <v>6359.462</v>
      </c>
      <c r="I20" s="219" t="s">
        <v>401</v>
      </c>
    </row>
    <row r="21">
      <c r="A21" s="210" t="s">
        <v>46</v>
      </c>
      <c r="B21" s="124">
        <f t="shared" ref="B21:F21" si="15">if($B$5,B$26,B$25)</f>
        <v>3026.28</v>
      </c>
      <c r="C21" s="124">
        <f t="shared" si="15"/>
        <v>17261.03</v>
      </c>
      <c r="D21" s="124">
        <f t="shared" si="15"/>
        <v>17934.9</v>
      </c>
      <c r="E21" s="124">
        <f t="shared" si="15"/>
        <v>317</v>
      </c>
      <c r="F21" s="124">
        <f t="shared" si="15"/>
        <v>7235</v>
      </c>
      <c r="G21" s="211">
        <f t="shared" si="3"/>
        <v>45774.21</v>
      </c>
      <c r="H21" s="211">
        <f t="shared" si="4"/>
        <v>9154.842</v>
      </c>
      <c r="I21" s="13" t="s">
        <v>399</v>
      </c>
    </row>
    <row r="22">
      <c r="A22" s="212" t="s">
        <v>47</v>
      </c>
      <c r="B22" s="124">
        <f t="shared" ref="B22:F22" si="16">if($B$5,B$26,B$25)</f>
        <v>3026.28</v>
      </c>
      <c r="C22" s="124">
        <f t="shared" si="16"/>
        <v>17261.03</v>
      </c>
      <c r="D22" s="124">
        <f t="shared" si="16"/>
        <v>17934.9</v>
      </c>
      <c r="E22" s="124">
        <f t="shared" si="16"/>
        <v>317</v>
      </c>
      <c r="F22" s="124">
        <f t="shared" si="16"/>
        <v>7235</v>
      </c>
      <c r="G22" s="211">
        <f t="shared" si="3"/>
        <v>45774.21</v>
      </c>
      <c r="H22" s="211">
        <f t="shared" si="4"/>
        <v>9154.842</v>
      </c>
      <c r="I22" s="13" t="s">
        <v>399</v>
      </c>
    </row>
    <row r="23">
      <c r="A23" s="210" t="s">
        <v>48</v>
      </c>
      <c r="B23" s="124">
        <f t="shared" ref="B23:F23" si="17">if($B$5,B$26,B$25)</f>
        <v>3026.28</v>
      </c>
      <c r="C23" s="124">
        <f t="shared" si="17"/>
        <v>17261.03</v>
      </c>
      <c r="D23" s="124">
        <f t="shared" si="17"/>
        <v>17934.9</v>
      </c>
      <c r="E23" s="124">
        <f t="shared" si="17"/>
        <v>317</v>
      </c>
      <c r="F23" s="124">
        <f t="shared" si="17"/>
        <v>7235</v>
      </c>
      <c r="G23" s="211">
        <f t="shared" si="3"/>
        <v>45774.21</v>
      </c>
      <c r="H23" s="211">
        <f t="shared" si="4"/>
        <v>9154.842</v>
      </c>
      <c r="I23" s="13" t="s">
        <v>399</v>
      </c>
    </row>
    <row r="24">
      <c r="A24" s="65" t="s">
        <v>49</v>
      </c>
      <c r="B24" s="88">
        <f t="shared" ref="B24:F24" si="18">sum(B7:B23)</f>
        <v>52500.48</v>
      </c>
      <c r="C24" s="88">
        <f t="shared" si="18"/>
        <v>299176.48</v>
      </c>
      <c r="D24" s="88">
        <f t="shared" si="18"/>
        <v>329962.5</v>
      </c>
      <c r="E24" s="88">
        <f t="shared" si="18"/>
        <v>6024</v>
      </c>
      <c r="F24" s="88">
        <f t="shared" si="18"/>
        <v>122775</v>
      </c>
      <c r="G24" s="88">
        <f t="shared" si="3"/>
        <v>810438.46</v>
      </c>
      <c r="H24" s="88">
        <f t="shared" si="4"/>
        <v>162087.692</v>
      </c>
      <c r="I24" s="17"/>
    </row>
    <row r="25">
      <c r="A25" s="65" t="s">
        <v>402</v>
      </c>
      <c r="B25" s="211">
        <f t="shared" ref="B25:E25" si="19">(B14+B17)/2</f>
        <v>3553.14</v>
      </c>
      <c r="C25" s="211">
        <f t="shared" si="19"/>
        <v>20130.515</v>
      </c>
      <c r="D25" s="211">
        <f t="shared" si="19"/>
        <v>37524.45</v>
      </c>
      <c r="E25" s="211">
        <f t="shared" si="19"/>
        <v>568</v>
      </c>
      <c r="F25" s="211">
        <f>(F14+F20)/2</f>
        <v>7117.5</v>
      </c>
      <c r="G25" s="211">
        <f t="shared" si="3"/>
        <v>68893.605</v>
      </c>
      <c r="H25" s="220"/>
      <c r="I25" s="220"/>
    </row>
    <row r="26">
      <c r="A26" s="65" t="s">
        <v>403</v>
      </c>
      <c r="B26" s="211">
        <f t="shared" ref="B26:D26" si="20">B17</f>
        <v>3026.28</v>
      </c>
      <c r="C26" s="211">
        <f t="shared" si="20"/>
        <v>17261.03</v>
      </c>
      <c r="D26" s="211">
        <f t="shared" si="20"/>
        <v>17934.9</v>
      </c>
      <c r="E26" s="211">
        <f>E14</f>
        <v>317</v>
      </c>
      <c r="F26" s="127">
        <f>F20</f>
        <v>7235</v>
      </c>
      <c r="G26" s="211">
        <f t="shared" si="3"/>
        <v>45774.21</v>
      </c>
      <c r="H26" s="220"/>
      <c r="I26" s="220"/>
    </row>
    <row r="28">
      <c r="A28" s="221" t="s">
        <v>404</v>
      </c>
    </row>
  </sheetData>
  <conditionalFormatting sqref="A26:I26">
    <cfRule type="expression" dxfId="1" priority="1">
      <formula>"B5=true"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s>
  <sheetData>
    <row r="1">
      <c r="A1" s="222" t="s">
        <v>405</v>
      </c>
      <c r="B1" s="132"/>
      <c r="C1" s="132"/>
      <c r="D1" s="132"/>
      <c r="E1" s="132"/>
      <c r="F1" s="132"/>
      <c r="G1" s="132"/>
      <c r="H1" s="132"/>
      <c r="I1" s="132"/>
      <c r="J1" s="132"/>
      <c r="K1" s="132"/>
      <c r="L1" s="132"/>
    </row>
    <row r="2">
      <c r="A2" s="177" t="s">
        <v>247</v>
      </c>
      <c r="B2" s="134" t="s">
        <v>248</v>
      </c>
      <c r="C2" s="134" t="s">
        <v>249</v>
      </c>
      <c r="D2" s="134" t="s">
        <v>250</v>
      </c>
      <c r="E2" s="178" t="s">
        <v>295</v>
      </c>
      <c r="F2" s="179"/>
      <c r="G2" s="179"/>
      <c r="H2" s="132"/>
      <c r="I2" s="132"/>
      <c r="J2" s="132"/>
      <c r="K2" s="132"/>
      <c r="L2" s="132"/>
    </row>
    <row r="3">
      <c r="A3" s="223" t="s">
        <v>406</v>
      </c>
      <c r="B3" s="181"/>
      <c r="C3" s="182"/>
      <c r="D3" s="181"/>
      <c r="E3" s="183"/>
    </row>
    <row r="4">
      <c r="A4" s="224" t="s">
        <v>407</v>
      </c>
      <c r="B4" s="181"/>
      <c r="C4" s="182"/>
      <c r="D4" s="181">
        <f t="shared" ref="D4:D10" si="1">B4*C4</f>
        <v>0</v>
      </c>
      <c r="E4" s="184"/>
      <c r="F4" s="184"/>
      <c r="G4" s="184"/>
      <c r="H4" s="184"/>
      <c r="I4" s="184"/>
      <c r="J4" s="184"/>
      <c r="K4" s="184"/>
      <c r="L4" s="184"/>
    </row>
    <row r="5">
      <c r="A5" s="224" t="s">
        <v>408</v>
      </c>
      <c r="B5" s="181"/>
      <c r="C5" s="182"/>
      <c r="D5" s="181">
        <f t="shared" si="1"/>
        <v>0</v>
      </c>
      <c r="E5" s="184"/>
      <c r="F5" s="184"/>
      <c r="G5" s="184"/>
      <c r="H5" s="184"/>
      <c r="I5" s="184"/>
      <c r="J5" s="184"/>
      <c r="K5" s="184"/>
      <c r="L5" s="184"/>
    </row>
    <row r="6">
      <c r="A6" s="224" t="s">
        <v>409</v>
      </c>
      <c r="B6" s="181"/>
      <c r="C6" s="182"/>
      <c r="D6" s="181">
        <f t="shared" si="1"/>
        <v>0</v>
      </c>
      <c r="E6" s="184"/>
      <c r="F6" s="184"/>
      <c r="G6" s="184"/>
      <c r="H6" s="184"/>
      <c r="I6" s="184"/>
      <c r="J6" s="184"/>
      <c r="K6" s="184"/>
      <c r="L6" s="184"/>
    </row>
    <row r="7">
      <c r="A7" s="224" t="s">
        <v>410</v>
      </c>
      <c r="B7" s="181"/>
      <c r="C7" s="182"/>
      <c r="D7" s="181">
        <f t="shared" si="1"/>
        <v>0</v>
      </c>
      <c r="E7" s="184"/>
      <c r="F7" s="184"/>
      <c r="G7" s="184"/>
      <c r="H7" s="184"/>
      <c r="I7" s="184"/>
      <c r="J7" s="184"/>
      <c r="K7" s="184"/>
      <c r="L7" s="184"/>
    </row>
    <row r="8">
      <c r="A8" s="224" t="s">
        <v>411</v>
      </c>
      <c r="B8" s="181"/>
      <c r="C8" s="182"/>
      <c r="D8" s="181">
        <f t="shared" si="1"/>
        <v>0</v>
      </c>
      <c r="E8" s="184"/>
      <c r="F8" s="184"/>
      <c r="G8" s="184"/>
      <c r="H8" s="184"/>
      <c r="I8" s="184"/>
      <c r="J8" s="184"/>
      <c r="K8" s="184"/>
      <c r="L8" s="184"/>
    </row>
    <row r="9">
      <c r="A9" s="224" t="s">
        <v>412</v>
      </c>
      <c r="B9" s="181"/>
      <c r="C9" s="182"/>
      <c r="D9" s="181">
        <f t="shared" si="1"/>
        <v>0</v>
      </c>
      <c r="E9" s="184"/>
      <c r="F9" s="184"/>
      <c r="G9" s="184"/>
      <c r="H9" s="184"/>
      <c r="I9" s="184"/>
      <c r="J9" s="184"/>
      <c r="K9" s="184"/>
      <c r="L9" s="184"/>
    </row>
    <row r="10">
      <c r="A10" s="224" t="s">
        <v>413</v>
      </c>
      <c r="B10" s="181"/>
      <c r="C10" s="182"/>
      <c r="D10" s="181">
        <f t="shared" si="1"/>
        <v>0</v>
      </c>
      <c r="E10" s="184"/>
      <c r="F10" s="184"/>
      <c r="G10" s="184"/>
      <c r="H10" s="184"/>
      <c r="I10" s="184"/>
      <c r="J10" s="184"/>
      <c r="K10" s="184"/>
      <c r="L10" s="184"/>
    </row>
    <row r="11">
      <c r="A11" s="223" t="s">
        <v>414</v>
      </c>
      <c r="B11" s="181"/>
      <c r="C11" s="182"/>
      <c r="D11" s="181"/>
      <c r="E11" s="184"/>
      <c r="F11" s="184"/>
      <c r="G11" s="184"/>
      <c r="H11" s="184"/>
      <c r="I11" s="184"/>
      <c r="J11" s="184"/>
      <c r="K11" s="184"/>
      <c r="L11" s="184"/>
    </row>
    <row r="12">
      <c r="A12" s="224" t="s">
        <v>415</v>
      </c>
      <c r="B12" s="181"/>
      <c r="C12" s="182"/>
      <c r="D12" s="181">
        <f t="shared" ref="D12:D16" si="2">B12*C12</f>
        <v>0</v>
      </c>
      <c r="E12" s="184"/>
      <c r="F12" s="184"/>
      <c r="G12" s="184"/>
      <c r="H12" s="184"/>
      <c r="I12" s="184"/>
      <c r="J12" s="184"/>
      <c r="K12" s="184"/>
      <c r="L12" s="184"/>
    </row>
    <row r="13">
      <c r="A13" s="224" t="s">
        <v>416</v>
      </c>
      <c r="B13" s="181"/>
      <c r="C13" s="182"/>
      <c r="D13" s="181">
        <f t="shared" si="2"/>
        <v>0</v>
      </c>
      <c r="E13" s="184"/>
      <c r="F13" s="184"/>
      <c r="G13" s="184"/>
      <c r="H13" s="184"/>
      <c r="I13" s="184"/>
      <c r="J13" s="184"/>
      <c r="K13" s="184"/>
      <c r="L13" s="184"/>
    </row>
    <row r="14">
      <c r="A14" s="224" t="s">
        <v>417</v>
      </c>
      <c r="B14" s="181"/>
      <c r="C14" s="182"/>
      <c r="D14" s="181">
        <f t="shared" si="2"/>
        <v>0</v>
      </c>
      <c r="E14" s="184"/>
      <c r="F14" s="184"/>
      <c r="G14" s="184"/>
      <c r="H14" s="184"/>
      <c r="I14" s="184"/>
      <c r="J14" s="184"/>
      <c r="K14" s="184"/>
      <c r="L14" s="184"/>
    </row>
    <row r="15">
      <c r="A15" s="224" t="s">
        <v>418</v>
      </c>
      <c r="B15" s="181"/>
      <c r="C15" s="182"/>
      <c r="D15" s="181">
        <f t="shared" si="2"/>
        <v>0</v>
      </c>
      <c r="E15" s="184"/>
      <c r="F15" s="184"/>
      <c r="G15" s="184"/>
      <c r="H15" s="184"/>
      <c r="I15" s="184"/>
      <c r="J15" s="184"/>
      <c r="K15" s="184"/>
      <c r="L15" s="184"/>
    </row>
    <row r="16">
      <c r="A16" s="224" t="s">
        <v>413</v>
      </c>
      <c r="B16" s="181"/>
      <c r="C16" s="182"/>
      <c r="D16" s="181">
        <f t="shared" si="2"/>
        <v>0</v>
      </c>
      <c r="E16" s="184"/>
      <c r="F16" s="184"/>
      <c r="G16" s="184"/>
      <c r="H16" s="184"/>
      <c r="I16" s="184"/>
      <c r="J16" s="184"/>
      <c r="K16" s="184"/>
      <c r="L16" s="184"/>
    </row>
    <row r="17">
      <c r="A17" s="223" t="s">
        <v>419</v>
      </c>
      <c r="B17" s="181"/>
      <c r="C17" s="182"/>
      <c r="D17" s="181"/>
      <c r="E17" s="184"/>
    </row>
    <row r="18">
      <c r="A18" s="224" t="s">
        <v>415</v>
      </c>
      <c r="B18" s="185"/>
      <c r="C18" s="182"/>
      <c r="D18" s="181">
        <f t="shared" ref="D18:D22" si="3">B18*C18</f>
        <v>0</v>
      </c>
      <c r="E18" s="186"/>
    </row>
    <row r="19">
      <c r="A19" s="224" t="s">
        <v>420</v>
      </c>
      <c r="B19" s="181"/>
      <c r="C19" s="182"/>
      <c r="D19" s="181">
        <f t="shared" si="3"/>
        <v>0</v>
      </c>
      <c r="E19" s="186"/>
      <c r="F19" s="186"/>
      <c r="G19" s="186"/>
      <c r="H19" s="186"/>
      <c r="I19" s="186"/>
      <c r="J19" s="186"/>
      <c r="K19" s="186"/>
      <c r="L19" s="186"/>
    </row>
    <row r="20">
      <c r="A20" s="224" t="s">
        <v>421</v>
      </c>
      <c r="B20" s="181"/>
      <c r="C20" s="182"/>
      <c r="D20" s="181">
        <f t="shared" si="3"/>
        <v>0</v>
      </c>
      <c r="E20" s="186"/>
      <c r="F20" s="186"/>
      <c r="G20" s="186"/>
      <c r="H20" s="186"/>
      <c r="I20" s="186"/>
      <c r="J20" s="186"/>
      <c r="K20" s="186"/>
      <c r="L20" s="186"/>
    </row>
    <row r="21">
      <c r="A21" s="224" t="s">
        <v>422</v>
      </c>
      <c r="B21" s="181"/>
      <c r="C21" s="182"/>
      <c r="D21" s="181">
        <f t="shared" si="3"/>
        <v>0</v>
      </c>
      <c r="E21" s="186"/>
    </row>
    <row r="22">
      <c r="A22" s="224" t="s">
        <v>413</v>
      </c>
      <c r="B22" s="181"/>
      <c r="C22" s="182"/>
      <c r="D22" s="181">
        <f t="shared" si="3"/>
        <v>0</v>
      </c>
      <c r="E22" s="186"/>
    </row>
    <row r="23">
      <c r="A23" s="223" t="s">
        <v>423</v>
      </c>
      <c r="B23" s="181"/>
      <c r="C23" s="182"/>
      <c r="D23" s="181"/>
      <c r="E23" s="188"/>
      <c r="F23" s="189"/>
      <c r="G23" s="189"/>
      <c r="H23" s="189"/>
      <c r="I23" s="189"/>
      <c r="J23" s="189"/>
      <c r="K23" s="189"/>
      <c r="L23" s="189"/>
    </row>
    <row r="24">
      <c r="A24" s="224" t="s">
        <v>424</v>
      </c>
      <c r="B24" s="181"/>
      <c r="C24" s="182"/>
      <c r="D24" s="181">
        <f t="shared" ref="D24:D29" si="4">B24*C24</f>
        <v>0</v>
      </c>
      <c r="E24" s="188"/>
      <c r="F24" s="189"/>
      <c r="G24" s="189"/>
      <c r="H24" s="189"/>
      <c r="I24" s="189"/>
      <c r="J24" s="189"/>
      <c r="K24" s="189"/>
      <c r="L24" s="189"/>
    </row>
    <row r="25">
      <c r="A25" s="224" t="s">
        <v>425</v>
      </c>
      <c r="B25" s="181"/>
      <c r="C25" s="182"/>
      <c r="D25" s="181">
        <f t="shared" si="4"/>
        <v>0</v>
      </c>
      <c r="E25" s="188"/>
      <c r="F25" s="189"/>
      <c r="G25" s="189"/>
      <c r="H25" s="189"/>
      <c r="I25" s="189"/>
      <c r="J25" s="189"/>
      <c r="K25" s="189"/>
      <c r="L25" s="189"/>
    </row>
    <row r="26">
      <c r="A26" s="224" t="s">
        <v>426</v>
      </c>
      <c r="B26" s="181"/>
      <c r="C26" s="182"/>
      <c r="D26" s="181">
        <f t="shared" si="4"/>
        <v>0</v>
      </c>
      <c r="E26" s="188"/>
      <c r="F26" s="189"/>
      <c r="G26" s="189"/>
      <c r="H26" s="189"/>
      <c r="I26" s="189"/>
      <c r="J26" s="189"/>
      <c r="K26" s="189"/>
      <c r="L26" s="189"/>
    </row>
    <row r="27">
      <c r="A27" s="224" t="s">
        <v>427</v>
      </c>
      <c r="B27" s="181"/>
      <c r="C27" s="182"/>
      <c r="D27" s="181">
        <f t="shared" si="4"/>
        <v>0</v>
      </c>
      <c r="E27" s="188"/>
      <c r="F27" s="189"/>
      <c r="G27" s="189"/>
      <c r="H27" s="189"/>
      <c r="I27" s="189"/>
      <c r="J27" s="189"/>
      <c r="K27" s="189"/>
      <c r="L27" s="189"/>
    </row>
    <row r="28">
      <c r="A28" s="224" t="s">
        <v>428</v>
      </c>
      <c r="B28" s="181"/>
      <c r="C28" s="182"/>
      <c r="D28" s="181">
        <f t="shared" si="4"/>
        <v>0</v>
      </c>
      <c r="E28" s="188"/>
      <c r="F28" s="189"/>
      <c r="G28" s="189"/>
      <c r="H28" s="189"/>
      <c r="I28" s="189"/>
      <c r="J28" s="189"/>
      <c r="K28" s="189"/>
      <c r="L28" s="189"/>
    </row>
    <row r="29">
      <c r="A29" s="225" t="s">
        <v>429</v>
      </c>
      <c r="B29" s="132"/>
      <c r="C29" s="140"/>
      <c r="D29" s="181">
        <f t="shared" si="4"/>
        <v>0</v>
      </c>
      <c r="E29" s="132"/>
      <c r="F29" s="132"/>
      <c r="G29" s="132"/>
      <c r="H29" s="132"/>
      <c r="I29" s="132"/>
      <c r="J29" s="132"/>
      <c r="K29" s="132"/>
      <c r="L29" s="132"/>
    </row>
    <row r="30">
      <c r="B30" s="132"/>
      <c r="C30" s="140" t="s">
        <v>250</v>
      </c>
      <c r="D30" s="191">
        <f>SUM(D3:D29)</f>
        <v>0</v>
      </c>
      <c r="E30" s="132"/>
      <c r="F30" s="132"/>
      <c r="G30" s="132"/>
      <c r="H30" s="132"/>
      <c r="I30" s="132"/>
      <c r="J30" s="132"/>
      <c r="K30" s="132"/>
      <c r="L30" s="132"/>
    </row>
    <row r="31">
      <c r="A31" s="190"/>
      <c r="B31" s="132"/>
      <c r="C31" s="140" t="s">
        <v>274</v>
      </c>
      <c r="D31" s="191">
        <f>D30*0.16</f>
        <v>0</v>
      </c>
      <c r="E31" s="132"/>
      <c r="F31" s="132"/>
      <c r="G31" s="132"/>
      <c r="H31" s="132"/>
      <c r="I31" s="132"/>
      <c r="J31" s="132"/>
      <c r="K31" s="132"/>
      <c r="L31" s="132"/>
    </row>
    <row r="32">
      <c r="A32" s="190"/>
      <c r="B32" s="132"/>
      <c r="C32" s="140" t="s">
        <v>189</v>
      </c>
      <c r="D32" s="191">
        <f>SUM(D30:D31)</f>
        <v>0</v>
      </c>
      <c r="E32" s="135"/>
      <c r="F32" s="132"/>
      <c r="G32" s="132"/>
      <c r="H32" s="132"/>
      <c r="I32" s="132"/>
      <c r="J32" s="132"/>
      <c r="K32" s="132"/>
      <c r="L32" s="132"/>
    </row>
  </sheetData>
  <mergeCells count="5">
    <mergeCell ref="E3:L3"/>
    <mergeCell ref="E17:L17"/>
    <mergeCell ref="E18:L18"/>
    <mergeCell ref="E21:L21"/>
    <mergeCell ref="E22:L2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4" max="4" width="15.38"/>
  </cols>
  <sheetData>
    <row r="1">
      <c r="A1" s="47" t="s">
        <v>36</v>
      </c>
    </row>
    <row r="2">
      <c r="A2" s="133"/>
    </row>
    <row r="3">
      <c r="A3" s="65" t="s">
        <v>430</v>
      </c>
      <c r="B3" s="27">
        <v>5.0</v>
      </c>
    </row>
    <row r="4">
      <c r="A4" s="65" t="s">
        <v>431</v>
      </c>
      <c r="B4" s="27">
        <v>2000.0</v>
      </c>
    </row>
    <row r="5">
      <c r="A5" s="65" t="s">
        <v>432</v>
      </c>
      <c r="B5" s="27">
        <v>440.0</v>
      </c>
    </row>
    <row r="6">
      <c r="A6" s="133"/>
    </row>
    <row r="7">
      <c r="A7" s="19">
        <v>2023.0</v>
      </c>
      <c r="B7" s="19" t="s">
        <v>433</v>
      </c>
      <c r="C7" s="19" t="s">
        <v>434</v>
      </c>
    </row>
    <row r="8">
      <c r="A8" s="65" t="s">
        <v>435</v>
      </c>
      <c r="C8" s="30"/>
      <c r="F8" s="6" t="s">
        <v>436</v>
      </c>
    </row>
    <row r="9">
      <c r="A9" s="65" t="s">
        <v>437</v>
      </c>
      <c r="B9" s="27">
        <v>10.5</v>
      </c>
      <c r="C9" s="30">
        <f t="shared" ref="C9:C14" si="1">sum(5*B9)</f>
        <v>52.5</v>
      </c>
      <c r="F9" s="6" t="s">
        <v>438</v>
      </c>
    </row>
    <row r="10">
      <c r="A10" s="65" t="s">
        <v>439</v>
      </c>
      <c r="B10" s="27">
        <v>17.0</v>
      </c>
      <c r="C10" s="30">
        <f t="shared" si="1"/>
        <v>85</v>
      </c>
      <c r="F10" s="6" t="s">
        <v>440</v>
      </c>
    </row>
    <row r="11">
      <c r="A11" s="65" t="s">
        <v>441</v>
      </c>
      <c r="B11" s="27">
        <v>19.0</v>
      </c>
      <c r="C11" s="30">
        <f t="shared" si="1"/>
        <v>95</v>
      </c>
      <c r="F11" s="6" t="s">
        <v>442</v>
      </c>
    </row>
    <row r="12">
      <c r="A12" s="65" t="s">
        <v>443</v>
      </c>
      <c r="B12" s="27">
        <v>18.0</v>
      </c>
      <c r="C12" s="30">
        <f t="shared" si="1"/>
        <v>90</v>
      </c>
      <c r="F12" s="6" t="s">
        <v>444</v>
      </c>
    </row>
    <row r="13">
      <c r="A13" s="65" t="s">
        <v>445</v>
      </c>
      <c r="B13" s="27">
        <v>16.0</v>
      </c>
      <c r="C13" s="30">
        <f t="shared" si="1"/>
        <v>80</v>
      </c>
      <c r="F13" s="6" t="s">
        <v>446</v>
      </c>
    </row>
    <row r="14">
      <c r="A14" s="65" t="s">
        <v>447</v>
      </c>
      <c r="B14" s="27">
        <v>17.0</v>
      </c>
      <c r="C14" s="30">
        <f t="shared" si="1"/>
        <v>85</v>
      </c>
      <c r="F14" s="6" t="s">
        <v>448</v>
      </c>
    </row>
    <row r="15">
      <c r="A15" s="65" t="s">
        <v>449</v>
      </c>
      <c r="B15" s="17"/>
      <c r="C15" s="17"/>
      <c r="F15" s="6" t="s">
        <v>450</v>
      </c>
    </row>
    <row r="16">
      <c r="A16" s="65" t="s">
        <v>451</v>
      </c>
      <c r="B16" s="17"/>
      <c r="C16" s="17"/>
      <c r="F16" s="6" t="s">
        <v>452</v>
      </c>
    </row>
    <row r="17">
      <c r="A17" s="65" t="s">
        <v>453</v>
      </c>
      <c r="B17" s="17"/>
      <c r="C17" s="17"/>
      <c r="F17" s="6" t="s">
        <v>454</v>
      </c>
    </row>
    <row r="18">
      <c r="A18" s="65" t="s">
        <v>455</v>
      </c>
      <c r="B18" s="17"/>
      <c r="C18" s="17"/>
    </row>
    <row r="19">
      <c r="A19" s="65" t="s">
        <v>456</v>
      </c>
      <c r="B19" s="17"/>
      <c r="C19" s="17"/>
    </row>
    <row r="20">
      <c r="A20" s="19" t="s">
        <v>49</v>
      </c>
      <c r="B20" s="19">
        <f t="shared" ref="B20:C20" si="2">SUM(B8:B19)</f>
        <v>97.5</v>
      </c>
      <c r="C20" s="19">
        <f t="shared" si="2"/>
        <v>487.5</v>
      </c>
    </row>
    <row r="22">
      <c r="A22" s="19">
        <v>2024.0</v>
      </c>
      <c r="B22" s="19" t="s">
        <v>433</v>
      </c>
      <c r="C22" s="19" t="s">
        <v>434</v>
      </c>
      <c r="E22" s="6" t="s">
        <v>436</v>
      </c>
    </row>
    <row r="23">
      <c r="A23" s="65" t="s">
        <v>435</v>
      </c>
      <c r="B23" s="6">
        <v>0.0</v>
      </c>
      <c r="C23" s="30"/>
      <c r="E23" s="6" t="s">
        <v>438</v>
      </c>
    </row>
    <row r="24">
      <c r="A24" s="65" t="s">
        <v>437</v>
      </c>
      <c r="B24" s="27">
        <v>0.0</v>
      </c>
      <c r="C24" s="226">
        <f t="shared" ref="C24:C32" si="3">sum(5*B24)</f>
        <v>0</v>
      </c>
      <c r="E24" s="6" t="s">
        <v>440</v>
      </c>
    </row>
    <row r="25">
      <c r="A25" s="65" t="s">
        <v>439</v>
      </c>
      <c r="B25" s="27">
        <v>2.0</v>
      </c>
      <c r="C25" s="30">
        <f t="shared" si="3"/>
        <v>10</v>
      </c>
      <c r="E25" s="6" t="s">
        <v>442</v>
      </c>
    </row>
    <row r="26">
      <c r="A26" s="65" t="s">
        <v>441</v>
      </c>
      <c r="B26" s="27">
        <v>6.0</v>
      </c>
      <c r="C26" s="30">
        <f t="shared" si="3"/>
        <v>30</v>
      </c>
      <c r="E26" s="6" t="s">
        <v>444</v>
      </c>
    </row>
    <row r="27">
      <c r="A27" s="65" t="s">
        <v>443</v>
      </c>
      <c r="B27" s="27">
        <v>25.0</v>
      </c>
      <c r="C27" s="30">
        <f t="shared" si="3"/>
        <v>125</v>
      </c>
      <c r="E27" s="6" t="s">
        <v>446</v>
      </c>
    </row>
    <row r="28">
      <c r="A28" s="65" t="s">
        <v>445</v>
      </c>
      <c r="B28" s="27">
        <v>12.0</v>
      </c>
      <c r="C28" s="30">
        <f t="shared" si="3"/>
        <v>60</v>
      </c>
      <c r="E28" s="6" t="s">
        <v>448</v>
      </c>
    </row>
    <row r="29">
      <c r="A29" s="65" t="s">
        <v>447</v>
      </c>
      <c r="B29" s="27">
        <v>7.0</v>
      </c>
      <c r="C29" s="30">
        <f t="shared" si="3"/>
        <v>35</v>
      </c>
      <c r="E29" s="6" t="s">
        <v>450</v>
      </c>
    </row>
    <row r="30">
      <c r="A30" s="65" t="s">
        <v>449</v>
      </c>
      <c r="B30" s="13">
        <v>4.0</v>
      </c>
      <c r="C30" s="30">
        <f t="shared" si="3"/>
        <v>20</v>
      </c>
      <c r="E30" s="6" t="s">
        <v>452</v>
      </c>
    </row>
    <row r="31">
      <c r="A31" s="65" t="s">
        <v>451</v>
      </c>
      <c r="B31" s="13">
        <v>2.0</v>
      </c>
      <c r="C31" s="30">
        <f t="shared" si="3"/>
        <v>10</v>
      </c>
      <c r="E31" s="6" t="s">
        <v>454</v>
      </c>
    </row>
    <row r="32">
      <c r="A32" s="65" t="s">
        <v>453</v>
      </c>
      <c r="B32" s="13">
        <v>2.0</v>
      </c>
      <c r="C32" s="30">
        <f t="shared" si="3"/>
        <v>10</v>
      </c>
    </row>
    <row r="33">
      <c r="A33" s="65" t="s">
        <v>455</v>
      </c>
      <c r="B33" s="13">
        <v>0.0</v>
      </c>
      <c r="C33" s="30">
        <f t="shared" ref="C33:C34" si="4">sum(3*B33)</f>
        <v>0</v>
      </c>
    </row>
    <row r="34">
      <c r="A34" s="65" t="s">
        <v>456</v>
      </c>
      <c r="B34" s="13">
        <v>0.0</v>
      </c>
      <c r="C34" s="30">
        <f t="shared" si="4"/>
        <v>0</v>
      </c>
    </row>
    <row r="35">
      <c r="A35" s="19" t="s">
        <v>49</v>
      </c>
      <c r="B35" s="19">
        <f t="shared" ref="B35:C35" si="5">SUM(B23:B34)</f>
        <v>60</v>
      </c>
      <c r="C35" s="19">
        <f t="shared" si="5"/>
        <v>300</v>
      </c>
    </row>
    <row r="38">
      <c r="A38" s="19">
        <v>2025.0</v>
      </c>
      <c r="B38" s="19" t="s">
        <v>433</v>
      </c>
      <c r="C38" s="19" t="s">
        <v>434</v>
      </c>
      <c r="D38" s="19" t="s">
        <v>457</v>
      </c>
    </row>
    <row r="39">
      <c r="A39" s="65" t="s">
        <v>435</v>
      </c>
      <c r="B39" s="6">
        <v>0.0</v>
      </c>
      <c r="C39" s="30"/>
      <c r="D39" s="30"/>
    </row>
    <row r="40">
      <c r="A40" s="65" t="s">
        <v>437</v>
      </c>
      <c r="B40" s="27">
        <v>10.0</v>
      </c>
      <c r="C40" s="30">
        <f t="shared" ref="C40:C45" si="6">sum(5*B40)</f>
        <v>50</v>
      </c>
      <c r="D40" s="30">
        <f t="shared" ref="D40:D50" si="7">C40*$B$5</f>
        <v>22000</v>
      </c>
      <c r="F40" s="6" t="s">
        <v>458</v>
      </c>
    </row>
    <row r="41">
      <c r="A41" s="65" t="s">
        <v>439</v>
      </c>
      <c r="B41" s="27">
        <v>22.0</v>
      </c>
      <c r="C41" s="30">
        <f t="shared" si="6"/>
        <v>110</v>
      </c>
      <c r="D41" s="30">
        <f t="shared" si="7"/>
        <v>48400</v>
      </c>
      <c r="F41" s="6" t="s">
        <v>459</v>
      </c>
    </row>
    <row r="42">
      <c r="A42" s="65" t="s">
        <v>441</v>
      </c>
      <c r="B42" s="27">
        <v>28.0</v>
      </c>
      <c r="C42" s="30">
        <f t="shared" si="6"/>
        <v>140</v>
      </c>
      <c r="D42" s="30">
        <f t="shared" si="7"/>
        <v>61600</v>
      </c>
      <c r="F42" s="6" t="s">
        <v>460</v>
      </c>
    </row>
    <row r="43">
      <c r="A43" s="65" t="s">
        <v>443</v>
      </c>
      <c r="B43" s="27">
        <v>29.0</v>
      </c>
      <c r="C43" s="30">
        <f t="shared" si="6"/>
        <v>145</v>
      </c>
      <c r="D43" s="30">
        <f t="shared" si="7"/>
        <v>63800</v>
      </c>
      <c r="F43" s="6" t="s">
        <v>461</v>
      </c>
    </row>
    <row r="44">
      <c r="A44" s="65" t="s">
        <v>445</v>
      </c>
      <c r="B44" s="27">
        <v>30.0</v>
      </c>
      <c r="C44" s="30">
        <f t="shared" si="6"/>
        <v>150</v>
      </c>
      <c r="D44" s="30">
        <f t="shared" si="7"/>
        <v>66000</v>
      </c>
      <c r="F44" s="6" t="s">
        <v>462</v>
      </c>
    </row>
    <row r="45">
      <c r="A45" s="65" t="s">
        <v>447</v>
      </c>
      <c r="B45" s="27">
        <v>29.0</v>
      </c>
      <c r="C45" s="30">
        <f t="shared" si="6"/>
        <v>145</v>
      </c>
      <c r="D45" s="30">
        <f t="shared" si="7"/>
        <v>63800</v>
      </c>
      <c r="F45" s="6" t="s">
        <v>463</v>
      </c>
    </row>
    <row r="46">
      <c r="A46" s="65" t="s">
        <v>449</v>
      </c>
      <c r="B46" s="13">
        <v>0.0</v>
      </c>
      <c r="C46" s="30">
        <f t="shared" ref="C46:C50" si="8">sum(3*B46)</f>
        <v>0</v>
      </c>
      <c r="D46" s="30">
        <f t="shared" si="7"/>
        <v>0</v>
      </c>
      <c r="F46" s="6" t="s">
        <v>464</v>
      </c>
    </row>
    <row r="47">
      <c r="A47" s="65" t="s">
        <v>451</v>
      </c>
      <c r="B47" s="13">
        <v>0.0</v>
      </c>
      <c r="C47" s="30">
        <f t="shared" si="8"/>
        <v>0</v>
      </c>
      <c r="D47" s="30">
        <f t="shared" si="7"/>
        <v>0</v>
      </c>
    </row>
    <row r="48">
      <c r="A48" s="65" t="s">
        <v>453</v>
      </c>
      <c r="B48" s="13">
        <v>0.0</v>
      </c>
      <c r="C48" s="30">
        <f t="shared" si="8"/>
        <v>0</v>
      </c>
      <c r="D48" s="30">
        <f t="shared" si="7"/>
        <v>0</v>
      </c>
    </row>
    <row r="49">
      <c r="A49" s="65" t="s">
        <v>455</v>
      </c>
      <c r="B49" s="13">
        <v>0.0</v>
      </c>
      <c r="C49" s="30">
        <f t="shared" si="8"/>
        <v>0</v>
      </c>
      <c r="D49" s="30">
        <f t="shared" si="7"/>
        <v>0</v>
      </c>
    </row>
    <row r="50">
      <c r="A50" s="65" t="s">
        <v>456</v>
      </c>
      <c r="B50" s="13">
        <v>0.0</v>
      </c>
      <c r="C50" s="30">
        <f t="shared" si="8"/>
        <v>0</v>
      </c>
      <c r="D50" s="30">
        <f t="shared" si="7"/>
        <v>0</v>
      </c>
      <c r="H50" s="6" t="s">
        <v>2</v>
      </c>
    </row>
    <row r="51">
      <c r="A51" s="19" t="s">
        <v>49</v>
      </c>
      <c r="B51" s="19">
        <f t="shared" ref="B51:D51" si="9">SUM(B39:B50)</f>
        <v>148</v>
      </c>
      <c r="C51" s="19">
        <f t="shared" si="9"/>
        <v>740</v>
      </c>
      <c r="D51" s="19">
        <f t="shared" si="9"/>
        <v>325600</v>
      </c>
      <c r="E51" s="21">
        <f>D51/18</f>
        <v>18088.88889</v>
      </c>
    </row>
    <row r="52">
      <c r="C52" s="6" t="s">
        <v>465</v>
      </c>
      <c r="D52" s="21">
        <f>D51/18</f>
        <v>18088.88889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4" max="4" width="40.75"/>
  </cols>
  <sheetData>
    <row r="1">
      <c r="A1" s="227" t="s">
        <v>466</v>
      </c>
    </row>
    <row r="3">
      <c r="A3" s="19" t="s">
        <v>467</v>
      </c>
      <c r="B3" s="19" t="s">
        <v>468</v>
      </c>
      <c r="C3" s="19" t="s">
        <v>469</v>
      </c>
    </row>
    <row r="4">
      <c r="A4" s="27" t="s">
        <v>470</v>
      </c>
      <c r="B4" s="27">
        <v>1300.0</v>
      </c>
      <c r="C4" s="27">
        <v>750.0</v>
      </c>
    </row>
    <row r="5">
      <c r="A5" s="27" t="s">
        <v>471</v>
      </c>
      <c r="B5" s="27">
        <v>2000.0</v>
      </c>
      <c r="C5" s="27">
        <v>1200.0</v>
      </c>
    </row>
    <row r="6">
      <c r="A6" s="27" t="s">
        <v>472</v>
      </c>
      <c r="B6" s="27">
        <v>1500.0</v>
      </c>
      <c r="C6" s="27">
        <v>450.0</v>
      </c>
    </row>
    <row r="7">
      <c r="A7" s="27" t="s">
        <v>473</v>
      </c>
      <c r="B7" s="30"/>
      <c r="C7" s="27">
        <v>160000.0</v>
      </c>
    </row>
    <row r="8">
      <c r="A8" s="27" t="s">
        <v>474</v>
      </c>
      <c r="B8" s="30"/>
      <c r="C8" s="27">
        <v>1000000.0</v>
      </c>
    </row>
    <row r="9">
      <c r="A9" s="27" t="s">
        <v>475</v>
      </c>
      <c r="B9" s="27"/>
      <c r="C9" s="30"/>
    </row>
    <row r="10">
      <c r="A10" s="27" t="s">
        <v>476</v>
      </c>
      <c r="B10" s="27">
        <v>47.0</v>
      </c>
      <c r="C10" s="27">
        <v>130.0</v>
      </c>
    </row>
    <row r="11">
      <c r="A11" s="27" t="s">
        <v>477</v>
      </c>
      <c r="B11" s="27">
        <v>16.0</v>
      </c>
      <c r="C11" s="30"/>
    </row>
    <row r="12">
      <c r="A12" s="30"/>
      <c r="B12" s="30"/>
      <c r="C12" s="30"/>
    </row>
    <row r="13">
      <c r="A13" s="30"/>
      <c r="B13" s="30"/>
      <c r="C13" s="30"/>
    </row>
    <row r="14">
      <c r="A14" s="30"/>
      <c r="B14" s="30"/>
      <c r="C14" s="30"/>
    </row>
    <row r="15">
      <c r="A15" s="30"/>
      <c r="B15" s="30"/>
      <c r="C15" s="30"/>
    </row>
    <row r="16">
      <c r="A16" s="30"/>
      <c r="B16" s="30"/>
      <c r="C16" s="30"/>
    </row>
    <row r="17">
      <c r="A17" s="30"/>
      <c r="B17" s="30"/>
      <c r="C17" s="30"/>
    </row>
    <row r="18">
      <c r="A18" s="30"/>
      <c r="B18" s="30"/>
      <c r="C18" s="30"/>
    </row>
    <row r="19">
      <c r="A19" s="30"/>
      <c r="B19" s="30"/>
      <c r="C19" s="30"/>
    </row>
    <row r="20">
      <c r="A20" s="17"/>
      <c r="B20" s="17"/>
      <c r="C20" s="17"/>
    </row>
    <row r="21">
      <c r="A21" s="17"/>
      <c r="B21" s="17"/>
      <c r="C21" s="17"/>
    </row>
    <row r="22">
      <c r="A22" s="17"/>
      <c r="B22" s="17"/>
      <c r="C22" s="17"/>
    </row>
    <row r="23">
      <c r="A23" s="17"/>
      <c r="B23" s="17"/>
      <c r="C23" s="17"/>
    </row>
    <row r="24">
      <c r="A24" s="17"/>
      <c r="B24" s="17"/>
      <c r="C24" s="17"/>
    </row>
    <row r="25">
      <c r="A25" s="17"/>
      <c r="B25" s="17"/>
      <c r="C25" s="17"/>
    </row>
  </sheetData>
  <drawing r:id="rId1"/>
</worksheet>
</file>