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227mt-my.sharepoint.com/personal/alex_227_mt/Documents/Documents/Business/Silver Craft/Development/xls/"/>
    </mc:Choice>
  </mc:AlternateContent>
  <xr:revisionPtr revIDLastSave="11" documentId="8_{AEDCB411-AC1E-4C2A-9643-64D4E4306741}" xr6:coauthVersionLast="47" xr6:coauthVersionMax="47" xr10:uidLastSave="{B6B4AA95-73E0-4151-8658-D50FA9041809}"/>
  <bookViews>
    <workbookView xWindow="-110" yWindow="-110" windowWidth="19420" windowHeight="11020" firstSheet="1" activeTab="3" xr2:uid="{00000000-000D-0000-FFFF-FFFF00000000}"/>
  </bookViews>
  <sheets>
    <sheet name="general info" sheetId="9" r:id="rId1"/>
    <sheet name="Drawign &amp; Notes" sheetId="8" r:id="rId2"/>
    <sheet name="PARTS CALCULATIONS" sheetId="10" r:id="rId3"/>
    <sheet name="DASHBOARD" sheetId="11" r:id="rId4"/>
    <sheet name="PriceListImp" sheetId="12" r:id="rId5"/>
    <sheet name="PriceListOld" sheetId="13" r:id="rId6"/>
    <sheet name="PriceFile" sheetId="14" r:id="rId7"/>
    <sheet name="Job" sheetId="6" r:id="rId8"/>
    <sheet name="Order" sheetId="5" r:id="rId9"/>
  </sheets>
  <externalReferences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5" l="1"/>
  <c r="B9" i="5"/>
  <c r="B10" i="5"/>
  <c r="AI26" i="6" l="1"/>
  <c r="AE26" i="6"/>
  <c r="AI24" i="6"/>
  <c r="AE24" i="6"/>
  <c r="AI22" i="6"/>
  <c r="AE22" i="6"/>
  <c r="AI20" i="6"/>
  <c r="AE20" i="6"/>
  <c r="AA20" i="9"/>
  <c r="M22" i="6"/>
  <c r="Q26" i="6"/>
  <c r="Q24" i="6"/>
  <c r="Q22" i="6"/>
  <c r="Q20" i="6"/>
  <c r="A15" i="6"/>
  <c r="A13" i="6"/>
  <c r="J5" i="6"/>
  <c r="A2" i="6"/>
  <c r="C55" i="9" l="1"/>
  <c r="J54" i="10" l="1"/>
  <c r="I54" i="10"/>
  <c r="H54" i="10"/>
  <c r="J53" i="10"/>
  <c r="I53" i="10"/>
  <c r="H53" i="10"/>
  <c r="J52" i="10"/>
  <c r="I52" i="10"/>
  <c r="H52" i="10"/>
  <c r="J51" i="10"/>
  <c r="I51" i="10"/>
  <c r="H51" i="10"/>
  <c r="H50" i="10"/>
  <c r="J50" i="10" s="1"/>
  <c r="G50" i="10"/>
  <c r="I50" i="10" s="1"/>
  <c r="H49" i="10"/>
  <c r="J49" i="10" s="1"/>
  <c r="G49" i="10"/>
  <c r="I49" i="10" s="1"/>
  <c r="H48" i="10"/>
  <c r="J48" i="10" s="1"/>
  <c r="G48" i="10"/>
  <c r="I48" i="10" s="1"/>
  <c r="H47" i="10"/>
  <c r="J47" i="10" s="1"/>
  <c r="G47" i="10"/>
  <c r="I47" i="10" s="1"/>
  <c r="H46" i="10"/>
  <c r="J46" i="10" s="1"/>
  <c r="G46" i="10"/>
  <c r="I46" i="10" s="1"/>
  <c r="H45" i="10"/>
  <c r="J45" i="10" s="1"/>
  <c r="H44" i="10"/>
  <c r="J44" i="10" s="1"/>
  <c r="H43" i="10"/>
  <c r="J43" i="10" s="1"/>
  <c r="H42" i="10"/>
  <c r="J42" i="10" s="1"/>
  <c r="J74" i="10"/>
  <c r="I74" i="10"/>
  <c r="H74" i="10"/>
  <c r="J73" i="10"/>
  <c r="I73" i="10"/>
  <c r="H73" i="10"/>
  <c r="J72" i="10"/>
  <c r="I72" i="10"/>
  <c r="H72" i="10"/>
  <c r="J71" i="10"/>
  <c r="I71" i="10"/>
  <c r="H71" i="10"/>
  <c r="H70" i="10"/>
  <c r="J70" i="10" s="1"/>
  <c r="G70" i="10"/>
  <c r="I70" i="10" s="1"/>
  <c r="H69" i="10"/>
  <c r="J69" i="10" s="1"/>
  <c r="G69" i="10"/>
  <c r="I69" i="10" s="1"/>
  <c r="H68" i="10"/>
  <c r="J68" i="10" s="1"/>
  <c r="G68" i="10"/>
  <c r="I68" i="10" s="1"/>
  <c r="H67" i="10"/>
  <c r="J67" i="10" s="1"/>
  <c r="G67" i="10"/>
  <c r="I67" i="10" s="1"/>
  <c r="H66" i="10"/>
  <c r="J66" i="10" s="1"/>
  <c r="G66" i="10"/>
  <c r="I66" i="10" s="1"/>
  <c r="H65" i="10"/>
  <c r="J65" i="10" s="1"/>
  <c r="H64" i="10"/>
  <c r="J64" i="10" s="1"/>
  <c r="H63" i="10"/>
  <c r="J63" i="10" s="1"/>
  <c r="H62" i="10"/>
  <c r="J62" i="10" s="1"/>
  <c r="C34" i="9"/>
  <c r="I55" i="10" l="1"/>
  <c r="J57" i="10" s="1"/>
  <c r="J55" i="10"/>
  <c r="I75" i="10"/>
  <c r="J77" i="10" s="1"/>
  <c r="J75" i="10"/>
  <c r="C22" i="9"/>
  <c r="C21" i="9"/>
  <c r="J35" i="10"/>
  <c r="I35" i="10"/>
  <c r="H35" i="10"/>
  <c r="J34" i="10"/>
  <c r="I34" i="10"/>
  <c r="H34" i="10"/>
  <c r="J33" i="10"/>
  <c r="I33" i="10"/>
  <c r="H33" i="10"/>
  <c r="J32" i="10"/>
  <c r="I32" i="10"/>
  <c r="H32" i="10"/>
  <c r="H31" i="10"/>
  <c r="J31" i="10" s="1"/>
  <c r="G31" i="10"/>
  <c r="I31" i="10" s="1"/>
  <c r="H30" i="10"/>
  <c r="J30" i="10" s="1"/>
  <c r="G30" i="10"/>
  <c r="I30" i="10" s="1"/>
  <c r="H29" i="10"/>
  <c r="J29" i="10" s="1"/>
  <c r="G29" i="10"/>
  <c r="I29" i="10" s="1"/>
  <c r="H28" i="10"/>
  <c r="J28" i="10" s="1"/>
  <c r="G28" i="10"/>
  <c r="I28" i="10" s="1"/>
  <c r="H27" i="10"/>
  <c r="J27" i="10" s="1"/>
  <c r="G27" i="10"/>
  <c r="I27" i="10" s="1"/>
  <c r="H26" i="10"/>
  <c r="J26" i="10" s="1"/>
  <c r="H25" i="10"/>
  <c r="J25" i="10" s="1"/>
  <c r="H24" i="10"/>
  <c r="J24" i="10" s="1"/>
  <c r="H23" i="10"/>
  <c r="J23" i="10" s="1"/>
  <c r="J15" i="10"/>
  <c r="I15" i="10"/>
  <c r="H15" i="10"/>
  <c r="J14" i="10"/>
  <c r="I14" i="10"/>
  <c r="H14" i="10"/>
  <c r="J13" i="10"/>
  <c r="I13" i="10"/>
  <c r="H13" i="10"/>
  <c r="J12" i="10"/>
  <c r="I12" i="10"/>
  <c r="H12" i="10"/>
  <c r="H11" i="10"/>
  <c r="J11" i="10" s="1"/>
  <c r="G11" i="10"/>
  <c r="I11" i="10" s="1"/>
  <c r="H10" i="10"/>
  <c r="J10" i="10" s="1"/>
  <c r="G10" i="10"/>
  <c r="I10" i="10" s="1"/>
  <c r="H9" i="10"/>
  <c r="J9" i="10" s="1"/>
  <c r="G9" i="10"/>
  <c r="I9" i="10" s="1"/>
  <c r="H8" i="10"/>
  <c r="J8" i="10" s="1"/>
  <c r="G8" i="10"/>
  <c r="I8" i="10" s="1"/>
  <c r="H7" i="10"/>
  <c r="J7" i="10" s="1"/>
  <c r="G7" i="10"/>
  <c r="I7" i="10" s="1"/>
  <c r="H6" i="10"/>
  <c r="J6" i="10" s="1"/>
  <c r="H5" i="10"/>
  <c r="J5" i="10" s="1"/>
  <c r="H4" i="10"/>
  <c r="J4" i="10" s="1"/>
  <c r="H3" i="10"/>
  <c r="J3" i="10" s="1"/>
  <c r="C25" i="9"/>
  <c r="C29" i="9" s="1"/>
  <c r="C39" i="9"/>
  <c r="Q28" i="6" s="1"/>
  <c r="C23" i="9"/>
  <c r="C24" i="9"/>
  <c r="C18" i="5"/>
  <c r="F10" i="5"/>
  <c r="F11" i="5"/>
  <c r="F9" i="5"/>
  <c r="F8" i="5"/>
  <c r="B8" i="5"/>
  <c r="G18" i="5"/>
  <c r="G21" i="5" s="1"/>
  <c r="G23" i="5" s="1"/>
  <c r="G22" i="5" s="1"/>
  <c r="AI38" i="6"/>
  <c r="AE38" i="6"/>
  <c r="AA38" i="6"/>
  <c r="Q38" i="6"/>
  <c r="A38" i="6"/>
  <c r="AI36" i="6"/>
  <c r="AE36" i="6"/>
  <c r="AA36" i="6"/>
  <c r="Q36" i="6"/>
  <c r="A36" i="6"/>
  <c r="AI34" i="6"/>
  <c r="AE34" i="6"/>
  <c r="AA34" i="6"/>
  <c r="Q34" i="6"/>
  <c r="A34" i="6"/>
  <c r="AI32" i="6"/>
  <c r="AE32" i="6"/>
  <c r="AA32" i="6"/>
  <c r="Q32" i="6"/>
  <c r="A32" i="6"/>
  <c r="AI30" i="6"/>
  <c r="AE30" i="6"/>
  <c r="AA30" i="6"/>
  <c r="Q30" i="6"/>
  <c r="A30" i="6"/>
  <c r="J58" i="10" l="1"/>
  <c r="C42" i="9"/>
  <c r="M63" i="10" s="1"/>
  <c r="C41" i="9"/>
  <c r="J78" i="10"/>
  <c r="J16" i="10"/>
  <c r="C26" i="9"/>
  <c r="C28" i="9"/>
  <c r="C27" i="9"/>
  <c r="C32" i="9"/>
  <c r="M23" i="6" s="1"/>
  <c r="I36" i="10"/>
  <c r="J38" i="10" s="1"/>
  <c r="J36" i="10"/>
  <c r="I16" i="10"/>
  <c r="J18" i="10" s="1"/>
  <c r="M64" i="10" l="1"/>
  <c r="M65" i="10" s="1"/>
  <c r="J39" i="10"/>
  <c r="C36" i="9"/>
  <c r="M43" i="10" s="1"/>
  <c r="M23" i="10"/>
  <c r="C33" i="9"/>
  <c r="M24" i="10" s="1"/>
  <c r="AA22" i="6" s="1"/>
  <c r="J19" i="10"/>
  <c r="C30" i="9"/>
  <c r="M67" i="10" l="1"/>
  <c r="M44" i="10"/>
  <c r="M47" i="10" s="1"/>
  <c r="M68" i="10"/>
  <c r="M25" i="10"/>
  <c r="M28" i="10" s="1"/>
  <c r="M4" i="10"/>
  <c r="AA20" i="6" s="1"/>
  <c r="M69" i="10" l="1"/>
  <c r="M45" i="10"/>
  <c r="M48" i="10" s="1"/>
  <c r="M49" i="10" s="1"/>
  <c r="M26" i="10"/>
  <c r="M29" i="10" s="1"/>
  <c r="M30" i="10" s="1"/>
  <c r="M5" i="10"/>
  <c r="M8" i="10" s="1"/>
  <c r="M6" i="10" l="1"/>
  <c r="M9" i="10" s="1"/>
  <c r="M10" i="10" s="1"/>
  <c r="C50" i="9" s="1"/>
  <c r="C56" i="9" l="1"/>
  <c r="C58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B2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Common:</t>
        </r>
        <r>
          <rPr>
            <sz val="9"/>
            <color indexed="81"/>
            <rFont val="Tahoma"/>
            <family val="2"/>
          </rPr>
          <t xml:space="preserve">
Volume of water</t>
        </r>
      </text>
    </comment>
    <comment ref="B3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Common:</t>
        </r>
        <r>
          <rPr>
            <sz val="9"/>
            <color indexed="81"/>
            <rFont val="Tahoma"/>
            <family val="2"/>
          </rPr>
          <t xml:space="preserve">
tis is the number of ribs required for the pools i.e. the perimiter of the pool / the distance apart + 4 extra for the corners</t>
        </r>
      </text>
    </comment>
    <comment ref="B3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Common:</t>
        </r>
        <r>
          <rPr>
            <sz val="9"/>
            <color indexed="81"/>
            <rFont val="Tahoma"/>
            <family val="2"/>
          </rPr>
          <t xml:space="preserve">
thi sis the tatal surface area material for the ribs i.e. the depth of the pool x the deck width x 1.15 material x number of ribs</t>
        </r>
      </text>
    </comment>
    <comment ref="B3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Common:</t>
        </r>
        <r>
          <rPr>
            <sz val="9"/>
            <color indexed="81"/>
            <rFont val="Tahoma"/>
            <family val="2"/>
          </rPr>
          <t xml:space="preserve">
This is the leght of joint required to fix 1 vertical rib to the pool = dept of pool x (2x width of rib) </t>
        </r>
      </text>
    </comment>
    <comment ref="B3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Common:</t>
        </r>
        <r>
          <rPr>
            <sz val="9"/>
            <color indexed="81"/>
            <rFont val="Tahoma"/>
            <family val="2"/>
          </rPr>
          <t xml:space="preserve">
this is the widht of the joint of the vertial ribs USED to calculate the material surface area of the joint</t>
        </r>
      </text>
    </comment>
    <comment ref="B3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Common:</t>
        </r>
        <r>
          <rPr>
            <sz val="9"/>
            <color indexed="81"/>
            <rFont val="Tahoma"/>
            <family val="2"/>
          </rPr>
          <t xml:space="preserve">
this is the toatl surface area of material to cover the join the ribs to the pool main structure</t>
        </r>
      </text>
    </comment>
    <comment ref="B3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Common:</t>
        </r>
        <r>
          <rPr>
            <sz val="9"/>
            <color indexed="81"/>
            <rFont val="Tahoma"/>
            <family val="2"/>
          </rPr>
          <t xml:space="preserve">
IF REQUIRED yes or no</t>
        </r>
      </text>
    </comment>
    <comment ref="B3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Common:</t>
        </r>
        <r>
          <rPr>
            <sz val="9"/>
            <color indexed="81"/>
            <rFont val="Tahoma"/>
            <family val="2"/>
          </rPr>
          <t xml:space="preserve">
put the number of ribs on the horizontal plane</t>
        </r>
      </text>
    </comment>
    <comment ref="C3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Common:</t>
        </r>
        <r>
          <rPr>
            <sz val="9"/>
            <color indexed="81"/>
            <rFont val="Tahoma"/>
            <family val="2"/>
          </rPr>
          <t xml:space="preserve">
insert the number of horizontal ribs if not required right 0</t>
        </r>
      </text>
    </comment>
    <comment ref="B3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Common:</t>
        </r>
        <r>
          <rPr>
            <sz val="9"/>
            <color indexed="81"/>
            <rFont val="Tahoma"/>
            <family val="2"/>
          </rPr>
          <t xml:space="preserve">
the permiter of the pool water edge x the number of ribs
</t>
        </r>
      </text>
    </comment>
    <comment ref="B4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Common:</t>
        </r>
        <r>
          <rPr>
            <sz val="9"/>
            <color indexed="81"/>
            <rFont val="Tahoma"/>
            <family val="2"/>
          </rPr>
          <t xml:space="preserve">
This is the widht of the joint of the horizontal ribbing USED to calculate the material surface area of the joint</t>
        </r>
      </text>
    </comment>
    <comment ref="B4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Common:</t>
        </r>
        <r>
          <rPr>
            <sz val="9"/>
            <color indexed="81"/>
            <rFont val="Tahoma"/>
            <family val="2"/>
          </rPr>
          <t xml:space="preserve">
this is the total surface area of material to cover the join the ribs to the pool main structure</t>
        </r>
      </text>
    </comment>
  </commentList>
</comments>
</file>

<file path=xl/sharedStrings.xml><?xml version="1.0" encoding="utf-8"?>
<sst xmlns="http://schemas.openxmlformats.org/spreadsheetml/2006/main" count="376" uniqueCount="172">
  <si>
    <t>Materials</t>
  </si>
  <si>
    <t>number of layers</t>
  </si>
  <si>
    <t>units</t>
  </si>
  <si>
    <r>
      <t xml:space="preserve">cost price </t>
    </r>
    <r>
      <rPr>
        <b/>
        <sz val="10"/>
        <rFont val="Calibri"/>
        <family val="2"/>
      </rPr>
      <t>€</t>
    </r>
  </si>
  <si>
    <t>weight / sqm</t>
  </si>
  <si>
    <t>resin /sqm</t>
  </si>
  <si>
    <t>total mat weight</t>
  </si>
  <si>
    <t>total resin weight</t>
  </si>
  <si>
    <t>cost/sqm</t>
  </si>
  <si>
    <t>Gelcoat 65pa clr</t>
  </si>
  <si>
    <t>per kg</t>
  </si>
  <si>
    <t>N/A</t>
  </si>
  <si>
    <t>Topcoat</t>
  </si>
  <si>
    <t>Bonding paste</t>
  </si>
  <si>
    <t>Tissue 30g</t>
  </si>
  <si>
    <t>msq</t>
  </si>
  <si>
    <t>Mat 300g</t>
  </si>
  <si>
    <t>Mat 450g</t>
  </si>
  <si>
    <t>W/R 600g</t>
  </si>
  <si>
    <t>W/R 800g</t>
  </si>
  <si>
    <t>Termahex: 10mm</t>
  </si>
  <si>
    <t>Termahex: 20mm</t>
  </si>
  <si>
    <t>Termahex: 28mm</t>
  </si>
  <si>
    <t>Resin TP240</t>
  </si>
  <si>
    <t>Note for direct lining ratio 1.3 use always resin 491 rate</t>
  </si>
  <si>
    <t>Resin 491 pa</t>
  </si>
  <si>
    <t>Vynilester V676</t>
  </si>
  <si>
    <t>Teak veil: f05090</t>
  </si>
  <si>
    <t>total cost of fiber per rmeter</t>
  </si>
  <si>
    <t xml:space="preserve">total cost of resin per meter </t>
  </si>
  <si>
    <t>total cost of material per meter</t>
  </si>
  <si>
    <t>total material sqm</t>
  </si>
  <si>
    <t>contengency material ratio 10%</t>
  </si>
  <si>
    <t>rate of labor/sqm</t>
  </si>
  <si>
    <t>hourly rate</t>
  </si>
  <si>
    <t>cost of materials</t>
  </si>
  <si>
    <t>cost of labor</t>
  </si>
  <si>
    <t>total cost of work inc 15%</t>
  </si>
  <si>
    <t>Date:</t>
  </si>
  <si>
    <t>Contact person:</t>
  </si>
  <si>
    <t>Quote number:</t>
  </si>
  <si>
    <t>Telephone:</t>
  </si>
  <si>
    <t>Job title:</t>
  </si>
  <si>
    <t>Purchase Order:</t>
  </si>
  <si>
    <t>Client name:</t>
  </si>
  <si>
    <t xml:space="preserve">Job description </t>
  </si>
  <si>
    <t>Layers Reb B</t>
  </si>
  <si>
    <t>Layers ref. C</t>
  </si>
  <si>
    <t>Quote No.</t>
  </si>
  <si>
    <t>Job Card General Information</t>
  </si>
  <si>
    <t>Job No.</t>
  </si>
  <si>
    <t>Job title</t>
  </si>
  <si>
    <t>Start Date</t>
  </si>
  <si>
    <t>PO ref</t>
  </si>
  <si>
    <t>Drawing attached       YES   /   No</t>
  </si>
  <si>
    <t xml:space="preserve"> Total Manpower</t>
  </si>
  <si>
    <t>Yes</t>
  </si>
  <si>
    <t>No</t>
  </si>
  <si>
    <t>Job Ref</t>
  </si>
  <si>
    <t>Layers</t>
  </si>
  <si>
    <t>Gel Ct</t>
  </si>
  <si>
    <t>©this document is property of Silvercraft Products Ltd, all rights reserved           Document Ref: SCP - OP - 001 Rev. C</t>
  </si>
  <si>
    <t>Silvercraft Products Ltd</t>
  </si>
  <si>
    <t>Tel: (+356) 21898046, 21821975</t>
  </si>
  <si>
    <t>MRA 018A, Marsa Industrial Estate,</t>
  </si>
  <si>
    <t>Web: www.silvercraftltd.com</t>
  </si>
  <si>
    <t>Marsa  MRS 3000, Malta</t>
  </si>
  <si>
    <t>Email: info@silvercraftltd.com</t>
  </si>
  <si>
    <t>VAT No:  MT 1166-6726</t>
  </si>
  <si>
    <t>Customer Order Form</t>
  </si>
  <si>
    <t>Order Ref:</t>
  </si>
  <si>
    <t>Company:</t>
  </si>
  <si>
    <t>Address:</t>
  </si>
  <si>
    <t>Quote:</t>
  </si>
  <si>
    <t>VAT Reg. No:</t>
  </si>
  <si>
    <t>Part No:</t>
  </si>
  <si>
    <t>Description:</t>
  </si>
  <si>
    <t>Rate:</t>
  </si>
  <si>
    <t>Qty:</t>
  </si>
  <si>
    <t>Subtotal:</t>
  </si>
  <si>
    <t>Tax:</t>
  </si>
  <si>
    <t>Sub-total:</t>
  </si>
  <si>
    <t>VAT:</t>
  </si>
  <si>
    <t>Total including VAT:</t>
  </si>
  <si>
    <t>Additional remarks:</t>
  </si>
  <si>
    <t>Payment terms:</t>
  </si>
  <si>
    <t>30% deposit, 70% balance on collection</t>
  </si>
  <si>
    <t>Delivery terms:</t>
  </si>
  <si>
    <t>Collection by client</t>
  </si>
  <si>
    <t>Deposit paid:</t>
  </si>
  <si>
    <t>€900 paid on 22/04/2019 via cheque BOV 4555</t>
  </si>
  <si>
    <t>Ordered By</t>
  </si>
  <si>
    <t>000</t>
  </si>
  <si>
    <t>number of vertical ribs</t>
  </si>
  <si>
    <t>number of horizontal ribs</t>
  </si>
  <si>
    <t>lenght  in M</t>
  </si>
  <si>
    <t>width in M</t>
  </si>
  <si>
    <t>depth in M</t>
  </si>
  <si>
    <t>vol MSQ</t>
  </si>
  <si>
    <t xml:space="preserve">Perimiter of pool </t>
  </si>
  <si>
    <t>Horizontal ribs                                         Y/N</t>
  </si>
  <si>
    <t>lining on site</t>
  </si>
  <si>
    <t>`</t>
  </si>
  <si>
    <t>horizontal ribs lenght M</t>
  </si>
  <si>
    <t>self supporting prefab</t>
  </si>
  <si>
    <t>Pool surface area</t>
  </si>
  <si>
    <t>self supporting ass on site</t>
  </si>
  <si>
    <t>infill prefab</t>
  </si>
  <si>
    <t>infill ass on site</t>
  </si>
  <si>
    <t>horizontal ribs fiberglass layer width</t>
  </si>
  <si>
    <t>vertical ribs joint length</t>
  </si>
  <si>
    <t>vertical ribs joint width</t>
  </si>
  <si>
    <t xml:space="preserve">TOTAL surface area of vert rib joints </t>
  </si>
  <si>
    <t xml:space="preserve">TOTAL surface area of HOR rib joints </t>
  </si>
  <si>
    <t>RIBS vertical</t>
  </si>
  <si>
    <t>RIBS horizontal</t>
  </si>
  <si>
    <t>Outside lenght  in M</t>
  </si>
  <si>
    <t>Outside width in M</t>
  </si>
  <si>
    <t>Overall height of the pool in M</t>
  </si>
  <si>
    <t>TOTAL material surface area of pool</t>
  </si>
  <si>
    <t>surface area of lenght sides BOTH inc</t>
  </si>
  <si>
    <t>Surface area of width sides BOTH inc</t>
  </si>
  <si>
    <t>surface area base</t>
  </si>
  <si>
    <t xml:space="preserve"> Surface area deck</t>
  </si>
  <si>
    <t>Main structrue calculations</t>
  </si>
  <si>
    <t>WATER dimentions</t>
  </si>
  <si>
    <t>vertical ribs ONLY</t>
  </si>
  <si>
    <t>TOTAL surface area of ribs</t>
  </si>
  <si>
    <t>Horizontal ribs lamination</t>
  </si>
  <si>
    <t>TYPE of POOL</t>
  </si>
  <si>
    <t>top deck width</t>
  </si>
  <si>
    <t>Material cost</t>
  </si>
  <si>
    <t>Does it require assembly on site?              1=YES 0=NO</t>
  </si>
  <si>
    <t>No of people on site</t>
  </si>
  <si>
    <t>Number of days on site</t>
  </si>
  <si>
    <t>profit rate</t>
  </si>
  <si>
    <t>vertical ribs JOINTS</t>
  </si>
  <si>
    <t>vertical ribs distance apart  in M</t>
  </si>
  <si>
    <t>Cost of on site</t>
  </si>
  <si>
    <t xml:space="preserve">total cost </t>
  </si>
  <si>
    <t>final price</t>
  </si>
  <si>
    <t>``</t>
  </si>
  <si>
    <t>No of people</t>
  </si>
  <si>
    <t>no of days</t>
  </si>
  <si>
    <t>Rate per person per hour</t>
  </si>
  <si>
    <t>Pool template</t>
  </si>
  <si>
    <t>horizontal ribs cost @ euro 10.86</t>
  </si>
  <si>
    <t xml:space="preserve">Quote PRICE </t>
  </si>
  <si>
    <t>Contact number</t>
  </si>
  <si>
    <t>Email</t>
  </si>
  <si>
    <t>Further Notes</t>
  </si>
  <si>
    <t>Extras</t>
  </si>
  <si>
    <t>Stairs</t>
  </si>
  <si>
    <t>bench</t>
  </si>
  <si>
    <t>Gelcoat 69pa clr (pools)</t>
  </si>
  <si>
    <t>notes</t>
  </si>
  <si>
    <t>main body</t>
  </si>
  <si>
    <t>vertical ribs joints</t>
  </si>
  <si>
    <t>horizontal ribs joint</t>
  </si>
  <si>
    <t>MP</t>
  </si>
  <si>
    <t>Days</t>
  </si>
  <si>
    <t>GC/300/450/450/800/450/HC20/450</t>
  </si>
  <si>
    <t>GC/300/450/800/450</t>
  </si>
  <si>
    <t>vertical ribs</t>
  </si>
  <si>
    <t>distance</t>
  </si>
  <si>
    <t>quantity</t>
  </si>
  <si>
    <t>n/a</t>
  </si>
  <si>
    <t>horizontal ribs lenght in M</t>
  </si>
  <si>
    <t>Special Prefab pool Skimmer</t>
  </si>
  <si>
    <t>Andrew Scerri</t>
  </si>
  <si>
    <t xml:space="preserve">7942 8323 </t>
  </si>
  <si>
    <t xml:space="preserve">1) Depth - starting 130cm left to 155cm right
2) colour white
3) The pool will be installed on a concrete platform ground floor level (below FFL) 
4) steps and sitting area
5) situated in Zebbug Gozo.
6) we would like skimmer system so as to reduce size of pool.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</si>
</sst>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€-43A]#,##0.00"/>
    <numFmt numFmtId="165" formatCode="0.0"/>
    <numFmt numFmtId="166" formatCode="General;;"/>
    <numFmt numFmtId="167" formatCode="dd/mm/yyyy;@"/>
    <numFmt numFmtId="168" formatCode="&quot;€&quot;#,##0.00"/>
    <numFmt numFmtId="169" formatCode="[$€-2]\ #,##0"/>
  </numFmts>
  <fonts count="3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</font>
    <font>
      <sz val="10"/>
      <name val="Arial"/>
      <family val="2"/>
    </font>
    <font>
      <sz val="10"/>
      <color theme="0" tint="-0.499984740745262"/>
      <name val="Arial"/>
      <family val="2"/>
    </font>
    <font>
      <b/>
      <sz val="10"/>
      <color rgb="FFFF0000"/>
      <name val="Arial"/>
      <family val="2"/>
    </font>
    <font>
      <sz val="10"/>
      <color theme="0"/>
      <name val="Arial"/>
      <family val="2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Arial Black"/>
      <family val="2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</font>
    <font>
      <sz val="12"/>
      <name val="Sylfaen"/>
      <family val="1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9"/>
      <name val="Sylfaen"/>
      <family val="1"/>
    </font>
    <font>
      <sz val="11"/>
      <name val="Sylfaen"/>
      <family val="1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i/>
      <u/>
      <sz val="12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555555"/>
      <name val="Roboto"/>
    </font>
    <font>
      <b/>
      <sz val="11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49998474074526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3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wrapText="1"/>
    </xf>
    <xf numFmtId="2" fontId="4" fillId="0" borderId="9" xfId="0" applyNumberFormat="1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wrapText="1"/>
    </xf>
    <xf numFmtId="2" fontId="4" fillId="0" borderId="14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16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8" xfId="0" applyFont="1" applyBorder="1" applyAlignment="1">
      <alignment horizontal="left" wrapText="1"/>
    </xf>
    <xf numFmtId="0" fontId="4" fillId="0" borderId="34" xfId="0" applyFont="1" applyBorder="1" applyAlignment="1">
      <alignment horizontal="center" wrapText="1"/>
    </xf>
    <xf numFmtId="0" fontId="4" fillId="0" borderId="19" xfId="0" applyFont="1" applyBorder="1" applyAlignment="1">
      <alignment wrapText="1"/>
    </xf>
    <xf numFmtId="2" fontId="4" fillId="0" borderId="20" xfId="0" applyNumberFormat="1" applyFont="1" applyBorder="1" applyAlignment="1">
      <alignment wrapText="1"/>
    </xf>
    <xf numFmtId="0" fontId="0" fillId="0" borderId="22" xfId="0" applyFill="1" applyBorder="1" applyAlignment="1" applyProtection="1">
      <alignment horizontal="center" vertical="center" wrapText="1"/>
      <protection locked="0"/>
    </xf>
    <xf numFmtId="0" fontId="4" fillId="0" borderId="23" xfId="0" applyFont="1" applyBorder="1" applyAlignment="1">
      <alignment horizontal="center" wrapText="1"/>
    </xf>
    <xf numFmtId="0" fontId="4" fillId="0" borderId="24" xfId="0" applyFont="1" applyBorder="1" applyAlignment="1">
      <alignment horizontal="left" wrapText="1"/>
    </xf>
    <xf numFmtId="0" fontId="4" fillId="0" borderId="24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3" xfId="0" applyFont="1" applyBorder="1" applyAlignment="1">
      <alignment wrapText="1"/>
    </xf>
    <xf numFmtId="2" fontId="4" fillId="0" borderId="22" xfId="0" applyNumberFormat="1" applyFont="1" applyBorder="1" applyAlignment="1">
      <alignment wrapText="1"/>
    </xf>
    <xf numFmtId="0" fontId="4" fillId="0" borderId="8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28" xfId="0" applyFont="1" applyBorder="1" applyAlignment="1">
      <alignment horizontal="center" wrapText="1"/>
    </xf>
    <xf numFmtId="2" fontId="4" fillId="0" borderId="29" xfId="0" applyNumberFormat="1" applyFont="1" applyBorder="1" applyAlignment="1">
      <alignment wrapText="1"/>
    </xf>
    <xf numFmtId="0" fontId="4" fillId="0" borderId="19" xfId="0" applyFont="1" applyBorder="1" applyAlignment="1">
      <alignment horizontal="center" wrapText="1"/>
    </xf>
    <xf numFmtId="0" fontId="1" fillId="0" borderId="36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44" xfId="0" applyFont="1" applyBorder="1" applyAlignment="1">
      <alignment wrapText="1"/>
    </xf>
    <xf numFmtId="0" fontId="3" fillId="0" borderId="43" xfId="0" applyFont="1" applyBorder="1" applyAlignment="1">
      <alignment wrapText="1"/>
    </xf>
    <xf numFmtId="0" fontId="3" fillId="0" borderId="45" xfId="0" applyFont="1" applyBorder="1" applyAlignment="1">
      <alignment wrapText="1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0" fillId="2" borderId="11" xfId="0" applyFill="1" applyBorder="1" applyAlignment="1" applyProtection="1">
      <alignment horizontal="center" vertical="center" wrapText="1"/>
      <protection locked="0"/>
    </xf>
    <xf numFmtId="0" fontId="0" fillId="2" borderId="15" xfId="0" applyFill="1" applyBorder="1" applyAlignment="1" applyProtection="1">
      <alignment horizontal="center" vertical="center" wrapText="1"/>
      <protection locked="0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6" fillId="0" borderId="13" xfId="0" applyFont="1" applyBorder="1" applyAlignment="1">
      <alignment wrapText="1"/>
    </xf>
    <xf numFmtId="0" fontId="7" fillId="2" borderId="1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6" fillId="0" borderId="12" xfId="0" applyFont="1" applyBorder="1" applyAlignment="1">
      <alignment horizontal="center" wrapText="1"/>
    </xf>
    <xf numFmtId="2" fontId="6" fillId="0" borderId="14" xfId="0" applyNumberFormat="1" applyFont="1" applyBorder="1" applyAlignment="1">
      <alignment wrapText="1"/>
    </xf>
    <xf numFmtId="0" fontId="3" fillId="2" borderId="16" xfId="0" applyFont="1" applyFill="1" applyBorder="1" applyAlignment="1" applyProtection="1">
      <alignment horizontal="left" vertical="top"/>
      <protection locked="0"/>
    </xf>
    <xf numFmtId="0" fontId="3" fillId="2" borderId="43" xfId="0" applyFont="1" applyFill="1" applyBorder="1" applyAlignment="1" applyProtection="1">
      <alignment horizontal="left" vertical="top"/>
      <protection locked="0"/>
    </xf>
    <xf numFmtId="0" fontId="3" fillId="2" borderId="13" xfId="0" applyFont="1" applyFill="1" applyBorder="1" applyAlignment="1" applyProtection="1">
      <alignment horizontal="left" vertical="top"/>
      <protection locked="0"/>
    </xf>
    <xf numFmtId="0" fontId="3" fillId="2" borderId="43" xfId="0" applyFont="1" applyFill="1" applyBorder="1" applyAlignment="1" applyProtection="1">
      <alignment vertical="center"/>
      <protection locked="0"/>
    </xf>
    <xf numFmtId="0" fontId="3" fillId="2" borderId="13" xfId="0" applyFont="1" applyFill="1" applyBorder="1" applyAlignment="1" applyProtection="1">
      <alignment vertical="center"/>
      <protection locked="0"/>
    </xf>
    <xf numFmtId="14" fontId="3" fillId="2" borderId="16" xfId="0" applyNumberFormat="1" applyFont="1" applyFill="1" applyBorder="1" applyAlignment="1" applyProtection="1">
      <alignment horizontal="left"/>
      <protection locked="0"/>
    </xf>
    <xf numFmtId="0" fontId="3" fillId="2" borderId="16" xfId="0" applyFont="1" applyFill="1" applyBorder="1" applyAlignment="1" applyProtection="1">
      <alignment horizontal="left" vertical="center"/>
      <protection locked="0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right" vertical="center"/>
    </xf>
    <xf numFmtId="0" fontId="23" fillId="0" borderId="0" xfId="0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4" fillId="7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168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9" fontId="20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horizontal="center" vertical="center" wrapText="1"/>
    </xf>
    <xf numFmtId="168" fontId="23" fillId="0" borderId="0" xfId="0" applyNumberFormat="1" applyFont="1" applyBorder="1" applyAlignment="1">
      <alignment horizontal="center" vertical="center"/>
    </xf>
    <xf numFmtId="168" fontId="21" fillId="0" borderId="0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0" fillId="6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49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20" fillId="8" borderId="0" xfId="0" applyFont="1" applyFill="1" applyAlignment="1">
      <alignment horizontal="left" vertical="center"/>
    </xf>
    <xf numFmtId="14" fontId="20" fillId="8" borderId="0" xfId="0" applyNumberFormat="1" applyFont="1" applyFill="1" applyAlignment="1">
      <alignment horizontal="left" vertical="center"/>
    </xf>
    <xf numFmtId="0" fontId="0" fillId="0" borderId="0" xfId="0" applyFill="1" applyAlignment="1">
      <alignment wrapText="1"/>
    </xf>
    <xf numFmtId="0" fontId="0" fillId="9" borderId="9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6" borderId="14" xfId="0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7" fillId="0" borderId="0" xfId="0" applyFont="1" applyFill="1" applyAlignment="1">
      <alignment horizontal="center" textRotation="90" wrapText="1"/>
    </xf>
    <xf numFmtId="0" fontId="3" fillId="0" borderId="51" xfId="0" applyFont="1" applyFill="1" applyBorder="1" applyAlignment="1">
      <alignment wrapText="1"/>
    </xf>
    <xf numFmtId="0" fontId="3" fillId="0" borderId="51" xfId="0" applyFont="1" applyFill="1" applyBorder="1" applyAlignment="1" applyProtection="1">
      <alignment horizontal="center" vertical="center" wrapText="1"/>
      <protection locked="0"/>
    </xf>
    <xf numFmtId="0" fontId="4" fillId="0" borderId="36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wrapText="1"/>
    </xf>
    <xf numFmtId="2" fontId="4" fillId="0" borderId="3" xfId="0" applyNumberFormat="1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0" fillId="9" borderId="2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33" xfId="0" applyBorder="1" applyAlignment="1">
      <alignment wrapText="1"/>
    </xf>
    <xf numFmtId="0" fontId="20" fillId="0" borderId="1" xfId="0" applyFont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28" fillId="0" borderId="0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vertical="center"/>
    </xf>
    <xf numFmtId="14" fontId="3" fillId="2" borderId="43" xfId="0" applyNumberFormat="1" applyFont="1" applyFill="1" applyBorder="1" applyProtection="1">
      <protection locked="0"/>
    </xf>
    <xf numFmtId="14" fontId="3" fillId="2" borderId="13" xfId="0" applyNumberFormat="1" applyFont="1" applyFill="1" applyBorder="1" applyProtection="1">
      <protection locked="0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wrapText="1"/>
    </xf>
    <xf numFmtId="0" fontId="29" fillId="0" borderId="18" xfId="0" applyFont="1" applyBorder="1" applyAlignment="1">
      <alignment wrapText="1"/>
    </xf>
    <xf numFmtId="0" fontId="0" fillId="0" borderId="18" xfId="0" applyBorder="1" applyAlignment="1">
      <alignment wrapText="1"/>
    </xf>
    <xf numFmtId="0" fontId="14" fillId="0" borderId="18" xfId="0" applyFont="1" applyBorder="1" applyAlignment="1">
      <alignment wrapText="1"/>
    </xf>
    <xf numFmtId="0" fontId="0" fillId="0" borderId="46" xfId="0" applyBorder="1" applyAlignment="1">
      <alignment wrapText="1"/>
    </xf>
    <xf numFmtId="0" fontId="29" fillId="0" borderId="4" xfId="0" applyFont="1" applyBorder="1" applyAlignment="1">
      <alignment wrapText="1"/>
    </xf>
    <xf numFmtId="0" fontId="29" fillId="9" borderId="9" xfId="0" applyFont="1" applyFill="1" applyBorder="1" applyAlignment="1">
      <alignment horizontal="center" vertical="center" wrapText="1"/>
    </xf>
    <xf numFmtId="169" fontId="0" fillId="0" borderId="47" xfId="0" applyNumberFormat="1" applyBorder="1" applyAlignment="1">
      <alignment horizontal="center" vertical="center" wrapText="1"/>
    </xf>
    <xf numFmtId="169" fontId="0" fillId="0" borderId="20" xfId="0" applyNumberFormat="1" applyBorder="1" applyAlignment="1">
      <alignment horizontal="center" vertical="center" wrapText="1"/>
    </xf>
    <xf numFmtId="0" fontId="0" fillId="0" borderId="87" xfId="0" applyBorder="1" applyAlignment="1">
      <alignment wrapText="1"/>
    </xf>
    <xf numFmtId="169" fontId="0" fillId="0" borderId="86" xfId="0" applyNumberFormat="1" applyBorder="1" applyAlignment="1">
      <alignment horizontal="center" vertical="center" wrapText="1"/>
    </xf>
    <xf numFmtId="169" fontId="0" fillId="0" borderId="9" xfId="0" applyNumberForma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86" xfId="0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65" fontId="14" fillId="0" borderId="14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0" fontId="33" fillId="0" borderId="0" xfId="0" applyFont="1" applyBorder="1" applyAlignment="1">
      <alignment wrapText="1"/>
    </xf>
    <xf numFmtId="0" fontId="0" fillId="4" borderId="35" xfId="0" applyFill="1" applyBorder="1" applyAlignment="1">
      <alignment horizontal="center" vertical="center" wrapText="1"/>
    </xf>
    <xf numFmtId="0" fontId="0" fillId="0" borderId="35" xfId="0" applyBorder="1" applyAlignment="1">
      <alignment wrapText="1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32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29" fillId="0" borderId="2" xfId="0" applyFont="1" applyBorder="1" applyAlignment="1">
      <alignment wrapText="1"/>
    </xf>
    <xf numFmtId="0" fontId="29" fillId="0" borderId="86" xfId="0" applyFont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0" borderId="6" xfId="0" applyFont="1" applyBorder="1" applyAlignment="1">
      <alignment wrapText="1"/>
    </xf>
    <xf numFmtId="0" fontId="0" fillId="0" borderId="1" xfId="0" applyFont="1" applyBorder="1" applyAlignment="1">
      <alignment wrapText="1"/>
    </xf>
    <xf numFmtId="169" fontId="0" fillId="10" borderId="9" xfId="0" applyNumberFormat="1" applyFill="1" applyBorder="1" applyAlignment="1">
      <alignment horizontal="center" vertical="center" wrapText="1"/>
    </xf>
    <xf numFmtId="169" fontId="0" fillId="10" borderId="14" xfId="0" applyNumberFormat="1" applyFill="1" applyBorder="1" applyAlignment="1">
      <alignment horizontal="center" vertical="center" wrapText="1"/>
    </xf>
    <xf numFmtId="169" fontId="0" fillId="10" borderId="20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35" xfId="0" applyFill="1" applyBorder="1" applyAlignment="1" applyProtection="1">
      <alignment horizontal="left" vertical="top" wrapText="1"/>
      <protection locked="0"/>
    </xf>
    <xf numFmtId="0" fontId="0" fillId="0" borderId="35" xfId="0" applyFill="1" applyBorder="1" applyAlignment="1">
      <alignment horizontal="left" vertical="top" wrapText="1"/>
    </xf>
    <xf numFmtId="165" fontId="0" fillId="0" borderId="35" xfId="0" applyNumberFormat="1" applyFill="1" applyBorder="1" applyAlignment="1">
      <alignment horizontal="left" vertical="top" wrapText="1"/>
    </xf>
    <xf numFmtId="164" fontId="0" fillId="0" borderId="35" xfId="0" applyNumberFormat="1" applyFill="1" applyBorder="1" applyAlignment="1">
      <alignment horizontal="left" vertical="top" wrapText="1"/>
    </xf>
    <xf numFmtId="0" fontId="0" fillId="9" borderId="35" xfId="0" applyFill="1" applyBorder="1" applyAlignment="1">
      <alignment horizontal="left" vertical="top"/>
    </xf>
    <xf numFmtId="0" fontId="0" fillId="9" borderId="35" xfId="0" applyFill="1" applyBorder="1" applyAlignment="1">
      <alignment horizontal="left" vertical="top" wrapText="1"/>
    </xf>
    <xf numFmtId="165" fontId="0" fillId="0" borderId="35" xfId="0" applyNumberFormat="1" applyFill="1" applyBorder="1" applyAlignment="1" applyProtection="1">
      <alignment horizontal="left" vertical="top" wrapText="1"/>
      <protection locked="0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1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33" fillId="0" borderId="39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left" vertical="center"/>
    </xf>
    <xf numFmtId="0" fontId="3" fillId="2" borderId="16" xfId="0" applyFont="1" applyFill="1" applyBorder="1" applyAlignment="1" applyProtection="1">
      <alignment horizontal="left" vertical="center" wrapText="1"/>
      <protection locked="0"/>
    </xf>
    <xf numFmtId="0" fontId="3" fillId="2" borderId="43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0" fontId="1" fillId="0" borderId="43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27" fillId="0" borderId="0" xfId="0" applyFont="1" applyAlignment="1">
      <alignment horizontal="center" textRotation="90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0" fillId="10" borderId="39" xfId="0" applyFill="1" applyBorder="1" applyAlignment="1" applyProtection="1">
      <alignment horizontal="left" vertical="top"/>
      <protection locked="0"/>
    </xf>
    <xf numFmtId="0" fontId="0" fillId="10" borderId="0" xfId="0" applyFill="1" applyBorder="1" applyAlignment="1" applyProtection="1">
      <alignment horizontal="left" vertical="top"/>
      <protection locked="0"/>
    </xf>
    <xf numFmtId="0" fontId="0" fillId="10" borderId="40" xfId="0" applyFill="1" applyBorder="1" applyAlignment="1" applyProtection="1">
      <alignment horizontal="left" vertical="top"/>
      <protection locked="0"/>
    </xf>
    <xf numFmtId="0" fontId="0" fillId="10" borderId="41" xfId="0" applyFill="1" applyBorder="1" applyAlignment="1" applyProtection="1">
      <alignment horizontal="left" vertical="top"/>
      <protection locked="0"/>
    </xf>
    <xf numFmtId="0" fontId="0" fillId="10" borderId="31" xfId="0" applyFill="1" applyBorder="1" applyAlignment="1" applyProtection="1">
      <alignment horizontal="left" vertical="top"/>
      <protection locked="0"/>
    </xf>
    <xf numFmtId="0" fontId="0" fillId="10" borderId="42" xfId="0" applyFill="1" applyBorder="1" applyAlignment="1" applyProtection="1">
      <alignment horizontal="left" vertical="top"/>
      <protection locked="0"/>
    </xf>
    <xf numFmtId="166" fontId="0" fillId="10" borderId="64" xfId="0" applyNumberFormat="1" applyFill="1" applyBorder="1" applyAlignment="1">
      <alignment horizontal="center" vertical="center" wrapText="1"/>
    </xf>
    <xf numFmtId="166" fontId="0" fillId="10" borderId="65" xfId="0" applyNumberFormat="1" applyFill="1" applyBorder="1" applyAlignment="1">
      <alignment horizontal="center" vertical="center" wrapText="1"/>
    </xf>
    <xf numFmtId="166" fontId="0" fillId="10" borderId="66" xfId="0" applyNumberFormat="1" applyFill="1" applyBorder="1" applyAlignment="1">
      <alignment horizontal="center" vertical="center" wrapText="1"/>
    </xf>
    <xf numFmtId="166" fontId="0" fillId="10" borderId="73" xfId="0" applyNumberFormat="1" applyFill="1" applyBorder="1" applyAlignment="1">
      <alignment horizontal="center" vertical="center" wrapText="1"/>
    </xf>
    <xf numFmtId="166" fontId="0" fillId="10" borderId="74" xfId="0" applyNumberFormat="1" applyFill="1" applyBorder="1" applyAlignment="1">
      <alignment horizontal="center" vertical="center" wrapText="1"/>
    </xf>
    <xf numFmtId="166" fontId="0" fillId="10" borderId="75" xfId="0" applyNumberFormat="1" applyFill="1" applyBorder="1" applyAlignment="1">
      <alignment horizontal="center" vertical="center" wrapText="1"/>
    </xf>
    <xf numFmtId="166" fontId="0" fillId="10" borderId="67" xfId="0" applyNumberFormat="1" applyFill="1" applyBorder="1" applyAlignment="1">
      <alignment horizontal="center" vertical="center" wrapText="1"/>
    </xf>
    <xf numFmtId="166" fontId="0" fillId="10" borderId="68" xfId="0" applyNumberFormat="1" applyFill="1" applyBorder="1" applyAlignment="1">
      <alignment horizontal="center" vertical="center" wrapText="1"/>
    </xf>
    <xf numFmtId="166" fontId="0" fillId="10" borderId="76" xfId="0" applyNumberFormat="1" applyFill="1" applyBorder="1" applyAlignment="1">
      <alignment horizontal="center" vertical="center" wrapText="1"/>
    </xf>
    <xf numFmtId="166" fontId="0" fillId="10" borderId="77" xfId="0" applyNumberFormat="1" applyFill="1" applyBorder="1" applyAlignment="1">
      <alignment horizontal="center" vertical="center" wrapText="1"/>
    </xf>
    <xf numFmtId="166" fontId="0" fillId="10" borderId="69" xfId="0" applyNumberFormat="1" applyFill="1" applyBorder="1" applyAlignment="1">
      <alignment horizontal="center" vertical="center"/>
    </xf>
    <xf numFmtId="166" fontId="0" fillId="10" borderId="70" xfId="0" applyNumberFormat="1" applyFill="1" applyBorder="1" applyAlignment="1">
      <alignment horizontal="center" vertical="center"/>
    </xf>
    <xf numFmtId="166" fontId="0" fillId="10" borderId="71" xfId="0" applyNumberFormat="1" applyFill="1" applyBorder="1" applyAlignment="1">
      <alignment horizontal="center" vertical="center"/>
    </xf>
    <xf numFmtId="166" fontId="0" fillId="10" borderId="78" xfId="0" applyNumberFormat="1" applyFill="1" applyBorder="1" applyAlignment="1">
      <alignment horizontal="center" vertical="center"/>
    </xf>
    <xf numFmtId="166" fontId="0" fillId="10" borderId="79" xfId="0" applyNumberFormat="1" applyFill="1" applyBorder="1" applyAlignment="1">
      <alignment horizontal="center" vertical="center"/>
    </xf>
    <xf numFmtId="166" fontId="0" fillId="10" borderId="80" xfId="0" applyNumberFormat="1" applyFill="1" applyBorder="1" applyAlignment="1">
      <alignment horizontal="center" vertical="center"/>
    </xf>
    <xf numFmtId="166" fontId="0" fillId="10" borderId="72" xfId="0" applyNumberFormat="1" applyFill="1" applyBorder="1" applyAlignment="1">
      <alignment horizontal="center" vertical="center"/>
    </xf>
    <xf numFmtId="166" fontId="0" fillId="10" borderId="81" xfId="0" applyNumberFormat="1" applyFill="1" applyBorder="1" applyAlignment="1">
      <alignment horizontal="center" vertical="center"/>
    </xf>
    <xf numFmtId="166" fontId="0" fillId="10" borderId="82" xfId="0" applyNumberFormat="1" applyFill="1" applyBorder="1" applyAlignment="1">
      <alignment horizontal="center" vertical="center"/>
    </xf>
    <xf numFmtId="166" fontId="0" fillId="10" borderId="28" xfId="0" applyNumberFormat="1" applyFill="1" applyBorder="1" applyAlignment="1">
      <alignment horizontal="center" vertical="center"/>
    </xf>
    <xf numFmtId="166" fontId="0" fillId="10" borderId="83" xfId="0" applyNumberFormat="1" applyFill="1" applyBorder="1" applyAlignment="1">
      <alignment horizontal="center" vertical="center"/>
    </xf>
    <xf numFmtId="166" fontId="0" fillId="10" borderId="29" xfId="0" applyNumberFormat="1" applyFill="1" applyBorder="1" applyAlignment="1">
      <alignment horizontal="center" vertical="center"/>
    </xf>
    <xf numFmtId="166" fontId="0" fillId="10" borderId="84" xfId="0" applyNumberFormat="1" applyFill="1" applyBorder="1" applyAlignment="1">
      <alignment horizontal="center" vertical="center"/>
    </xf>
    <xf numFmtId="166" fontId="0" fillId="10" borderId="2" xfId="0" applyNumberFormat="1" applyFill="1" applyBorder="1" applyAlignment="1">
      <alignment horizontal="center" vertical="center"/>
    </xf>
    <xf numFmtId="166" fontId="0" fillId="10" borderId="85" xfId="0" applyNumberFormat="1" applyFill="1" applyBorder="1" applyAlignment="1">
      <alignment horizontal="center" vertical="center"/>
    </xf>
    <xf numFmtId="166" fontId="0" fillId="10" borderId="86" xfId="0" applyNumberFormat="1" applyFill="1" applyBorder="1" applyAlignment="1">
      <alignment horizontal="center" vertical="center"/>
    </xf>
    <xf numFmtId="166" fontId="0" fillId="0" borderId="64" xfId="0" applyNumberFormat="1" applyBorder="1" applyAlignment="1">
      <alignment horizontal="center" vertical="center" wrapText="1"/>
    </xf>
    <xf numFmtId="166" fontId="0" fillId="0" borderId="65" xfId="0" applyNumberFormat="1" applyBorder="1" applyAlignment="1">
      <alignment horizontal="center" vertical="center" wrapText="1"/>
    </xf>
    <xf numFmtId="166" fontId="0" fillId="0" borderId="66" xfId="0" applyNumberFormat="1" applyBorder="1" applyAlignment="1">
      <alignment horizontal="center" vertical="center" wrapText="1"/>
    </xf>
    <xf numFmtId="166" fontId="0" fillId="0" borderId="73" xfId="0" applyNumberFormat="1" applyBorder="1" applyAlignment="1">
      <alignment horizontal="center" vertical="center" wrapText="1"/>
    </xf>
    <xf numFmtId="166" fontId="0" fillId="0" borderId="74" xfId="0" applyNumberFormat="1" applyBorder="1" applyAlignment="1">
      <alignment horizontal="center" vertical="center" wrapText="1"/>
    </xf>
    <xf numFmtId="166" fontId="0" fillId="0" borderId="75" xfId="0" applyNumberFormat="1" applyBorder="1" applyAlignment="1">
      <alignment horizontal="center" vertical="center" wrapText="1"/>
    </xf>
    <xf numFmtId="166" fontId="0" fillId="0" borderId="67" xfId="0" applyNumberFormat="1" applyBorder="1" applyAlignment="1">
      <alignment horizontal="center" vertical="center" wrapText="1"/>
    </xf>
    <xf numFmtId="166" fontId="0" fillId="0" borderId="68" xfId="0" applyNumberFormat="1" applyBorder="1" applyAlignment="1">
      <alignment horizontal="center" vertical="center" wrapText="1"/>
    </xf>
    <xf numFmtId="166" fontId="0" fillId="0" borderId="76" xfId="0" applyNumberFormat="1" applyBorder="1" applyAlignment="1">
      <alignment horizontal="center" vertical="center" wrapText="1"/>
    </xf>
    <xf numFmtId="166" fontId="0" fillId="0" borderId="77" xfId="0" applyNumberFormat="1" applyBorder="1" applyAlignment="1">
      <alignment horizontal="center" vertical="center" wrapText="1"/>
    </xf>
    <xf numFmtId="166" fontId="0" fillId="0" borderId="69" xfId="0" applyNumberFormat="1" applyBorder="1" applyAlignment="1">
      <alignment horizontal="center" vertical="center"/>
    </xf>
    <xf numFmtId="166" fontId="0" fillId="0" borderId="70" xfId="0" applyNumberFormat="1" applyBorder="1" applyAlignment="1">
      <alignment horizontal="center" vertical="center"/>
    </xf>
    <xf numFmtId="166" fontId="0" fillId="0" borderId="71" xfId="0" applyNumberFormat="1" applyBorder="1" applyAlignment="1">
      <alignment horizontal="center" vertical="center"/>
    </xf>
    <xf numFmtId="166" fontId="0" fillId="0" borderId="78" xfId="0" applyNumberFormat="1" applyBorder="1" applyAlignment="1">
      <alignment horizontal="center" vertical="center"/>
    </xf>
    <xf numFmtId="166" fontId="0" fillId="0" borderId="79" xfId="0" applyNumberFormat="1" applyBorder="1" applyAlignment="1">
      <alignment horizontal="center" vertical="center"/>
    </xf>
    <xf numFmtId="166" fontId="0" fillId="0" borderId="80" xfId="0" applyNumberFormat="1" applyBorder="1" applyAlignment="1">
      <alignment horizontal="center" vertical="center"/>
    </xf>
    <xf numFmtId="166" fontId="0" fillId="0" borderId="72" xfId="0" applyNumberFormat="1" applyBorder="1" applyAlignment="1">
      <alignment horizontal="center" vertical="center"/>
    </xf>
    <xf numFmtId="166" fontId="0" fillId="0" borderId="81" xfId="0" applyNumberFormat="1" applyBorder="1" applyAlignment="1">
      <alignment horizontal="center" vertical="center"/>
    </xf>
    <xf numFmtId="166" fontId="0" fillId="0" borderId="39" xfId="0" applyNumberFormat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 wrapText="1"/>
    </xf>
    <xf numFmtId="166" fontId="0" fillId="0" borderId="23" xfId="0" applyNumberFormat="1" applyBorder="1" applyAlignment="1">
      <alignment horizontal="center" vertical="center" wrapText="1"/>
    </xf>
    <xf numFmtId="166" fontId="0" fillId="0" borderId="82" xfId="0" applyNumberFormat="1" applyBorder="1" applyAlignment="1">
      <alignment horizontal="center" vertical="center"/>
    </xf>
    <xf numFmtId="166" fontId="0" fillId="0" borderId="28" xfId="0" applyNumberFormat="1" applyBorder="1" applyAlignment="1">
      <alignment horizontal="center" vertical="center"/>
    </xf>
    <xf numFmtId="166" fontId="0" fillId="0" borderId="83" xfId="0" applyNumberFormat="1" applyBorder="1" applyAlignment="1">
      <alignment horizontal="center" vertical="center"/>
    </xf>
    <xf numFmtId="166" fontId="0" fillId="0" borderId="84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85" xfId="0" applyNumberFormat="1" applyBorder="1" applyAlignment="1">
      <alignment horizontal="center" vertical="center"/>
    </xf>
    <xf numFmtId="166" fontId="0" fillId="0" borderId="29" xfId="0" applyNumberFormat="1" applyBorder="1" applyAlignment="1">
      <alignment horizontal="center" vertical="center"/>
    </xf>
    <xf numFmtId="166" fontId="0" fillId="0" borderId="86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1" fillId="0" borderId="3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/>
    </xf>
    <xf numFmtId="0" fontId="11" fillId="0" borderId="56" xfId="0" applyFont="1" applyBorder="1" applyAlignment="1">
      <alignment horizontal="center"/>
    </xf>
    <xf numFmtId="0" fontId="11" fillId="0" borderId="57" xfId="0" applyFont="1" applyBorder="1" applyAlignment="1">
      <alignment horizontal="center"/>
    </xf>
    <xf numFmtId="0" fontId="11" fillId="0" borderId="58" xfId="0" applyFont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11" fillId="0" borderId="60" xfId="0" applyFont="1" applyBorder="1" applyAlignment="1">
      <alignment horizontal="center"/>
    </xf>
    <xf numFmtId="0" fontId="11" fillId="0" borderId="61" xfId="0" applyFont="1" applyBorder="1" applyAlignment="1">
      <alignment horizontal="center"/>
    </xf>
    <xf numFmtId="0" fontId="11" fillId="0" borderId="62" xfId="0" applyFont="1" applyBorder="1" applyAlignment="1">
      <alignment horizontal="center"/>
    </xf>
    <xf numFmtId="0" fontId="11" fillId="0" borderId="63" xfId="0" applyFont="1" applyBorder="1" applyAlignment="1">
      <alignment horizontal="center"/>
    </xf>
    <xf numFmtId="0" fontId="0" fillId="0" borderId="52" xfId="0" applyNumberFormat="1" applyBorder="1" applyAlignment="1">
      <alignment horizontal="left" vertical="top" wrapText="1"/>
    </xf>
    <xf numFmtId="0" fontId="0" fillId="0" borderId="51" xfId="0" applyNumberFormat="1" applyBorder="1" applyAlignment="1">
      <alignment horizontal="left" vertical="top" wrapText="1"/>
    </xf>
    <xf numFmtId="0" fontId="0" fillId="0" borderId="53" xfId="0" applyNumberFormat="1" applyBorder="1" applyAlignment="1">
      <alignment horizontal="left" vertical="top" wrapText="1"/>
    </xf>
    <xf numFmtId="0" fontId="0" fillId="0" borderId="39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0" xfId="0" applyNumberFormat="1" applyBorder="1" applyAlignment="1">
      <alignment horizontal="left" vertical="top" wrapText="1"/>
    </xf>
    <xf numFmtId="0" fontId="0" fillId="0" borderId="41" xfId="0" applyNumberFormat="1" applyBorder="1" applyAlignment="1">
      <alignment horizontal="left" vertical="top" wrapText="1"/>
    </xf>
    <xf numFmtId="0" fontId="0" fillId="0" borderId="31" xfId="0" applyNumberFormat="1" applyBorder="1" applyAlignment="1">
      <alignment horizontal="left" vertical="top" wrapText="1"/>
    </xf>
    <xf numFmtId="0" fontId="0" fillId="0" borderId="42" xfId="0" applyNumberFormat="1" applyBorder="1" applyAlignment="1">
      <alignment horizontal="left" vertical="top" wrapText="1"/>
    </xf>
    <xf numFmtId="0" fontId="0" fillId="0" borderId="52" xfId="0" applyBorder="1" applyAlignment="1">
      <alignment horizontal="center" vertical="top"/>
    </xf>
    <xf numFmtId="0" fontId="0" fillId="0" borderId="51" xfId="0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0" fillId="0" borderId="3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53" xfId="0" applyBorder="1" applyAlignment="1">
      <alignment horizontal="center" vertical="top"/>
    </xf>
    <xf numFmtId="167" fontId="0" fillId="10" borderId="0" xfId="0" applyNumberFormat="1" applyFill="1" applyBorder="1" applyAlignment="1">
      <alignment horizontal="center" vertical="center"/>
    </xf>
    <xf numFmtId="167" fontId="0" fillId="10" borderId="23" xfId="0" applyNumberFormat="1" applyFill="1" applyBorder="1" applyAlignment="1">
      <alignment horizontal="center" vertical="center"/>
    </xf>
    <xf numFmtId="167" fontId="0" fillId="10" borderId="31" xfId="0" applyNumberFormat="1" applyFill="1" applyBorder="1" applyAlignment="1">
      <alignment horizontal="center" vertical="center"/>
    </xf>
    <xf numFmtId="167" fontId="0" fillId="10" borderId="32" xfId="0" applyNumberFormat="1" applyFill="1" applyBorder="1" applyAlignment="1">
      <alignment horizontal="center" vertical="center"/>
    </xf>
    <xf numFmtId="167" fontId="3" fillId="10" borderId="21" xfId="0" applyNumberFormat="1" applyFont="1" applyFill="1" applyBorder="1" applyAlignment="1" applyProtection="1">
      <alignment horizontal="center" vertical="center"/>
      <protection locked="0"/>
    </xf>
    <xf numFmtId="167" fontId="3" fillId="10" borderId="0" xfId="0" applyNumberFormat="1" applyFont="1" applyFill="1" applyBorder="1" applyAlignment="1" applyProtection="1">
      <alignment horizontal="center" vertical="center"/>
      <protection locked="0"/>
    </xf>
    <xf numFmtId="167" fontId="3" fillId="10" borderId="23" xfId="0" applyNumberFormat="1" applyFont="1" applyFill="1" applyBorder="1" applyAlignment="1" applyProtection="1">
      <alignment horizontal="center" vertical="center"/>
      <protection locked="0"/>
    </xf>
    <xf numFmtId="167" fontId="3" fillId="10" borderId="30" xfId="0" applyNumberFormat="1" applyFont="1" applyFill="1" applyBorder="1" applyAlignment="1" applyProtection="1">
      <alignment horizontal="center" vertical="center"/>
      <protection locked="0"/>
    </xf>
    <xf numFmtId="167" fontId="3" fillId="10" borderId="31" xfId="0" applyNumberFormat="1" applyFont="1" applyFill="1" applyBorder="1" applyAlignment="1" applyProtection="1">
      <alignment horizontal="center" vertical="center"/>
      <protection locked="0"/>
    </xf>
    <xf numFmtId="167" fontId="3" fillId="10" borderId="32" xfId="0" applyNumberFormat="1" applyFont="1" applyFill="1" applyBorder="1" applyAlignment="1" applyProtection="1">
      <alignment horizontal="center" vertical="center"/>
      <protection locked="0"/>
    </xf>
    <xf numFmtId="0" fontId="3" fillId="10" borderId="0" xfId="0" applyFont="1" applyFill="1" applyBorder="1" applyAlignment="1" applyProtection="1">
      <alignment horizontal="center" vertical="center" wrapText="1"/>
      <protection locked="0"/>
    </xf>
    <xf numFmtId="0" fontId="3" fillId="10" borderId="23" xfId="0" applyFont="1" applyFill="1" applyBorder="1" applyAlignment="1" applyProtection="1">
      <alignment horizontal="center" vertical="center" wrapText="1"/>
      <protection locked="0"/>
    </xf>
    <xf numFmtId="0" fontId="3" fillId="10" borderId="31" xfId="0" applyFont="1" applyFill="1" applyBorder="1" applyAlignment="1" applyProtection="1">
      <alignment horizontal="center" vertical="center" wrapText="1"/>
      <protection locked="0"/>
    </xf>
    <xf numFmtId="0" fontId="3" fillId="10" borderId="32" xfId="0" applyFont="1" applyFill="1" applyBorder="1" applyAlignment="1" applyProtection="1">
      <alignment horizontal="center" vertical="center" wrapText="1"/>
      <protection locked="0"/>
    </xf>
    <xf numFmtId="0" fontId="0" fillId="10" borderId="0" xfId="0" applyFill="1" applyBorder="1" applyAlignment="1" applyProtection="1">
      <alignment horizontal="center" vertical="center" wrapText="1"/>
      <protection locked="0"/>
    </xf>
    <xf numFmtId="0" fontId="0" fillId="10" borderId="23" xfId="0" applyFill="1" applyBorder="1" applyAlignment="1" applyProtection="1">
      <alignment horizontal="center" vertical="center" wrapText="1"/>
      <protection locked="0"/>
    </xf>
    <xf numFmtId="0" fontId="0" fillId="10" borderId="31" xfId="0" applyFill="1" applyBorder="1" applyAlignment="1" applyProtection="1">
      <alignment horizontal="center" vertical="center" wrapText="1"/>
      <protection locked="0"/>
    </xf>
    <xf numFmtId="0" fontId="0" fillId="10" borderId="32" xfId="0" applyFill="1" applyBorder="1" applyAlignment="1" applyProtection="1">
      <alignment horizontal="center" vertical="center" wrapText="1"/>
      <protection locked="0"/>
    </xf>
    <xf numFmtId="166" fontId="3" fillId="0" borderId="21" xfId="0" applyNumberFormat="1" applyFont="1" applyFill="1" applyBorder="1" applyAlignment="1" applyProtection="1">
      <alignment horizontal="center" vertical="center"/>
    </xf>
    <xf numFmtId="166" fontId="0" fillId="0" borderId="0" xfId="0" applyNumberFormat="1" applyFill="1" applyBorder="1" applyAlignment="1" applyProtection="1">
      <alignment horizontal="center" vertical="center"/>
    </xf>
    <xf numFmtId="166" fontId="0" fillId="0" borderId="40" xfId="0" applyNumberFormat="1" applyFill="1" applyBorder="1" applyAlignment="1" applyProtection="1">
      <alignment horizontal="center" vertical="center"/>
    </xf>
    <xf numFmtId="166" fontId="0" fillId="0" borderId="30" xfId="0" applyNumberFormat="1" applyFill="1" applyBorder="1" applyAlignment="1" applyProtection="1">
      <alignment horizontal="center" vertical="center"/>
    </xf>
    <xf numFmtId="166" fontId="0" fillId="0" borderId="31" xfId="0" applyNumberFormat="1" applyFill="1" applyBorder="1" applyAlignment="1" applyProtection="1">
      <alignment horizontal="center" vertical="center"/>
    </xf>
    <xf numFmtId="166" fontId="0" fillId="0" borderId="42" xfId="0" applyNumberFormat="1" applyFill="1" applyBorder="1" applyAlignment="1" applyProtection="1">
      <alignment horizontal="center" vertical="center"/>
    </xf>
    <xf numFmtId="0" fontId="0" fillId="0" borderId="37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8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6" fontId="0" fillId="0" borderId="39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166" fontId="0" fillId="0" borderId="48" xfId="0" applyNumberFormat="1" applyBorder="1" applyAlignment="1">
      <alignment horizontal="center" vertical="center"/>
    </xf>
    <xf numFmtId="166" fontId="0" fillId="0" borderId="49" xfId="0" applyNumberFormat="1" applyBorder="1" applyAlignment="1">
      <alignment horizontal="center" vertical="center"/>
    </xf>
    <xf numFmtId="166" fontId="0" fillId="0" borderId="5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0" fillId="0" borderId="5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49" fontId="9" fillId="5" borderId="21" xfId="0" applyNumberFormat="1" applyFont="1" applyFill="1" applyBorder="1" applyAlignment="1" applyProtection="1">
      <alignment horizontal="center" vertical="center"/>
      <protection locked="0"/>
    </xf>
    <xf numFmtId="49" fontId="9" fillId="5" borderId="0" xfId="0" applyNumberFormat="1" applyFont="1" applyFill="1" applyBorder="1" applyAlignment="1" applyProtection="1">
      <alignment horizontal="center" vertical="center"/>
      <protection locked="0"/>
    </xf>
    <xf numFmtId="49" fontId="9" fillId="5" borderId="23" xfId="0" applyNumberFormat="1" applyFont="1" applyFill="1" applyBorder="1" applyAlignment="1" applyProtection="1">
      <alignment horizontal="center" vertical="center"/>
      <protection locked="0"/>
    </xf>
    <xf numFmtId="49" fontId="9" fillId="5" borderId="12" xfId="0" applyNumberFormat="1" applyFont="1" applyFill="1" applyBorder="1" applyAlignment="1" applyProtection="1">
      <alignment horizontal="center" vertical="center"/>
      <protection locked="0"/>
    </xf>
    <xf numFmtId="49" fontId="9" fillId="5" borderId="49" xfId="0" applyNumberFormat="1" applyFont="1" applyFill="1" applyBorder="1" applyAlignment="1" applyProtection="1">
      <alignment horizontal="center" vertical="center"/>
      <protection locked="0"/>
    </xf>
    <xf numFmtId="49" fontId="9" fillId="5" borderId="50" xfId="0" applyNumberFormat="1" applyFont="1" applyFill="1" applyBorder="1" applyAlignment="1" applyProtection="1">
      <alignment horizontal="center" vertical="center"/>
      <protection locked="0"/>
    </xf>
    <xf numFmtId="166" fontId="10" fillId="0" borderId="0" xfId="0" applyNumberFormat="1" applyFont="1" applyBorder="1" applyAlignment="1">
      <alignment horizontal="center" vertical="center"/>
    </xf>
    <xf numFmtId="166" fontId="10" fillId="0" borderId="23" xfId="0" applyNumberFormat="1" applyFont="1" applyBorder="1" applyAlignment="1">
      <alignment horizontal="center" vertical="center"/>
    </xf>
    <xf numFmtId="166" fontId="10" fillId="0" borderId="49" xfId="0" applyNumberFormat="1" applyFont="1" applyBorder="1" applyAlignment="1">
      <alignment horizontal="center" vertical="center"/>
    </xf>
    <xf numFmtId="166" fontId="10" fillId="0" borderId="5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right" vertical="center"/>
    </xf>
    <xf numFmtId="0" fontId="20" fillId="0" borderId="16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167" fontId="23" fillId="0" borderId="0" xfId="0" applyNumberFormat="1" applyFont="1" applyBorder="1" applyAlignment="1">
      <alignment horizontal="right" vertical="center"/>
    </xf>
    <xf numFmtId="1" fontId="21" fillId="0" borderId="0" xfId="0" applyNumberFormat="1" applyFont="1" applyBorder="1" applyAlignment="1">
      <alignment horizontal="left" vertical="center"/>
    </xf>
    <xf numFmtId="167" fontId="20" fillId="0" borderId="0" xfId="0" applyNumberFormat="1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4" fillId="7" borderId="16" xfId="0" applyFont="1" applyFill="1" applyBorder="1" applyAlignment="1">
      <alignment horizontal="left" vertical="center"/>
    </xf>
    <xf numFmtId="0" fontId="24" fillId="7" borderId="13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590550</xdr:colOff>
          <xdr:row>4</xdr:row>
          <xdr:rowOff>19050</xdr:rowOff>
        </xdr:from>
        <xdr:to>
          <xdr:col>9</xdr:col>
          <xdr:colOff>317500</xdr:colOff>
          <xdr:row>6</xdr:row>
          <xdr:rowOff>31750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Import PRICE file 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28577</xdr:colOff>
      <xdr:row>1</xdr:row>
      <xdr:rowOff>38100</xdr:rowOff>
    </xdr:from>
    <xdr:to>
      <xdr:col>35</xdr:col>
      <xdr:colOff>133350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7" y="228600"/>
          <a:ext cx="866773" cy="523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47627</xdr:colOff>
      <xdr:row>0</xdr:row>
      <xdr:rowOff>38101</xdr:rowOff>
    </xdr:from>
    <xdr:to>
      <xdr:col>1</xdr:col>
      <xdr:colOff>152401</xdr:colOff>
      <xdr:row>3</xdr:row>
      <xdr:rowOff>194511</xdr:rowOff>
    </xdr:to>
    <xdr:pic>
      <xdr:nvPicPr>
        <xdr:cNvPr id="2" name="Picture 3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7" y="38101"/>
          <a:ext cx="904874" cy="8422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DING%2001-07-20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Docs\Jobs\370%20Alphamaris%20manho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List"/>
      <sheetName val="PriceListOld"/>
      <sheetName val="PriceListImp"/>
      <sheetName val="DASHBOARD"/>
      <sheetName val="general info"/>
      <sheetName val="Drawing - notes"/>
      <sheetName val="Job Card"/>
      <sheetName val="Order"/>
      <sheetName val="PW PROTECT"/>
      <sheetName val="TRADING 01-07-2020"/>
    </sheetNames>
    <definedNames>
      <definedName name="ThisWorkbook.fileImpor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List"/>
      <sheetName val="general info"/>
      <sheetName val="Drawing"/>
      <sheetName val="Job Card"/>
      <sheetName val="Order"/>
      <sheetName val="Formal Quote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B3"/>
        </row>
      </sheetData>
      <sheetData sheetId="8">
        <row r="3">
          <cell r="B3"/>
        </row>
      </sheetData>
      <sheetData sheetId="9">
        <row r="3">
          <cell r="B3"/>
        </row>
      </sheetData>
      <sheetData sheetId="10">
        <row r="3">
          <cell r="B3"/>
        </row>
      </sheetData>
      <sheetData sheetId="11">
        <row r="3">
          <cell r="B3"/>
          <cell r="E3">
            <v>0.75</v>
          </cell>
        </row>
        <row r="4">
          <cell r="B4"/>
          <cell r="E4">
            <v>0.75</v>
          </cell>
        </row>
        <row r="24">
          <cell r="H24">
            <v>0</v>
          </cell>
        </row>
        <row r="30">
          <cell r="B30"/>
        </row>
        <row r="42">
          <cell r="B42" t="str">
            <v xml:space="preserve"> </v>
          </cell>
          <cell r="E42" t="str">
            <v xml:space="preserve"> </v>
          </cell>
          <cell r="J42" t="str">
            <v xml:space="preserve"> </v>
          </cell>
        </row>
      </sheetData>
      <sheetData sheetId="12">
        <row r="3">
          <cell r="B3"/>
          <cell r="E3">
            <v>0.75</v>
          </cell>
        </row>
        <row r="4">
          <cell r="B4"/>
          <cell r="E4">
            <v>0.75</v>
          </cell>
        </row>
        <row r="24">
          <cell r="H24">
            <v>0</v>
          </cell>
        </row>
        <row r="30">
          <cell r="B30"/>
        </row>
        <row r="42">
          <cell r="B42" t="str">
            <v xml:space="preserve"> </v>
          </cell>
          <cell r="E42" t="str">
            <v xml:space="preserve"> </v>
          </cell>
          <cell r="J42" t="str">
            <v xml:space="preserve"> </v>
          </cell>
        </row>
      </sheetData>
      <sheetData sheetId="13">
        <row r="3">
          <cell r="B3"/>
          <cell r="E3">
            <v>0.75</v>
          </cell>
        </row>
        <row r="4">
          <cell r="B4"/>
          <cell r="E4">
            <v>0.75</v>
          </cell>
        </row>
        <row r="24">
          <cell r="H24">
            <v>0</v>
          </cell>
        </row>
        <row r="30">
          <cell r="B30"/>
        </row>
        <row r="42">
          <cell r="B42" t="str">
            <v xml:space="preserve"> </v>
          </cell>
          <cell r="E42" t="str">
            <v xml:space="preserve"> </v>
          </cell>
          <cell r="J42" t="str">
            <v xml:space="preserve"> </v>
          </cell>
        </row>
      </sheetData>
      <sheetData sheetId="14">
        <row r="3">
          <cell r="B3"/>
          <cell r="E3">
            <v>0.75</v>
          </cell>
        </row>
        <row r="4">
          <cell r="B4"/>
          <cell r="E4">
            <v>0.75</v>
          </cell>
        </row>
        <row r="24">
          <cell r="H24">
            <v>0</v>
          </cell>
        </row>
        <row r="30">
          <cell r="B30"/>
        </row>
        <row r="42">
          <cell r="B42" t="str">
            <v xml:space="preserve"> </v>
          </cell>
          <cell r="E42" t="str">
            <v xml:space="preserve"> </v>
          </cell>
          <cell r="J42" t="str">
            <v xml:space="preserve"> </v>
          </cell>
        </row>
      </sheetData>
      <sheetData sheetId="15">
        <row r="3">
          <cell r="B3"/>
          <cell r="E3">
            <v>0.75</v>
          </cell>
        </row>
        <row r="4">
          <cell r="B4"/>
          <cell r="E4">
            <v>0.75</v>
          </cell>
        </row>
        <row r="24">
          <cell r="H24">
            <v>0</v>
          </cell>
        </row>
        <row r="30">
          <cell r="B30">
            <v>0</v>
          </cell>
        </row>
        <row r="42">
          <cell r="B42" t="str">
            <v xml:space="preserve"> </v>
          </cell>
          <cell r="E42" t="str">
            <v xml:space="preserve"> </v>
          </cell>
          <cell r="J42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59"/>
  <sheetViews>
    <sheetView workbookViewId="0">
      <selection activeCell="C2" sqref="C2"/>
    </sheetView>
  </sheetViews>
  <sheetFormatPr defaultColWidth="9.1796875" defaultRowHeight="14.5" x14ac:dyDescent="0.35"/>
  <cols>
    <col min="1" max="1" width="17.26953125" style="101" customWidth="1"/>
    <col min="2" max="2" width="36.26953125" style="101" customWidth="1"/>
    <col min="3" max="3" width="21.81640625" style="124" customWidth="1"/>
    <col min="4" max="4" width="14.81640625" style="101" customWidth="1"/>
    <col min="5" max="5" width="20.1796875" style="101" customWidth="1"/>
    <col min="6" max="6" width="20.26953125" style="101" customWidth="1"/>
    <col min="7" max="7" width="21" style="101" customWidth="1"/>
    <col min="8" max="8" width="9.1796875" style="101"/>
    <col min="9" max="9" width="16.81640625" style="101" customWidth="1"/>
    <col min="10" max="16384" width="9.1796875" style="101"/>
  </cols>
  <sheetData>
    <row r="1" spans="1:17" customFormat="1" ht="36" x14ac:dyDescent="0.8">
      <c r="B1" s="184" t="s">
        <v>145</v>
      </c>
      <c r="C1" s="184"/>
      <c r="D1" s="184"/>
      <c r="E1" s="184"/>
    </row>
    <row r="2" spans="1:17" customFormat="1" x14ac:dyDescent="0.35">
      <c r="B2" s="128" t="s">
        <v>38</v>
      </c>
      <c r="C2" s="62"/>
      <c r="D2" s="129"/>
      <c r="E2" s="129"/>
      <c r="F2" s="129"/>
      <c r="G2" s="130"/>
      <c r="J2" s="154"/>
      <c r="K2" s="155"/>
      <c r="L2" s="155"/>
      <c r="M2" s="156"/>
      <c r="N2" s="186"/>
      <c r="O2" s="186"/>
      <c r="P2" s="157"/>
      <c r="Q2" s="157"/>
    </row>
    <row r="3" spans="1:17" customFormat="1" x14ac:dyDescent="0.35">
      <c r="B3" s="128" t="s">
        <v>40</v>
      </c>
      <c r="C3" s="63"/>
      <c r="D3" s="60"/>
      <c r="E3" s="60"/>
      <c r="F3" s="60"/>
      <c r="G3" s="61"/>
      <c r="J3" s="154"/>
      <c r="K3" s="157"/>
      <c r="L3" s="157"/>
      <c r="M3" s="156"/>
      <c r="N3" s="186"/>
      <c r="O3" s="186"/>
      <c r="P3" s="157"/>
      <c r="Q3" s="157"/>
    </row>
    <row r="4" spans="1:17" customFormat="1" x14ac:dyDescent="0.35">
      <c r="B4" s="128" t="s">
        <v>42</v>
      </c>
      <c r="C4" s="63" t="s">
        <v>168</v>
      </c>
      <c r="D4" s="60"/>
      <c r="E4" s="60"/>
      <c r="F4" s="60"/>
      <c r="G4" s="61"/>
      <c r="J4" s="158"/>
      <c r="K4" s="157"/>
      <c r="L4" s="157"/>
      <c r="M4" s="159"/>
      <c r="N4" s="186"/>
      <c r="O4" s="186"/>
      <c r="P4" s="157"/>
      <c r="Q4" s="157"/>
    </row>
    <row r="5" spans="1:17" customFormat="1" x14ac:dyDescent="0.35">
      <c r="B5" s="128" t="s">
        <v>44</v>
      </c>
      <c r="C5" s="57" t="s">
        <v>169</v>
      </c>
      <c r="D5" s="58"/>
      <c r="E5" s="58"/>
      <c r="F5" s="58"/>
      <c r="G5" s="59"/>
      <c r="J5" s="154"/>
      <c r="K5" s="157"/>
      <c r="L5" s="157"/>
      <c r="M5" s="159"/>
      <c r="N5" s="154"/>
      <c r="O5" s="154"/>
      <c r="P5" s="160"/>
      <c r="Q5" s="156"/>
    </row>
    <row r="6" spans="1:17" customFormat="1" x14ac:dyDescent="0.35">
      <c r="B6" s="128" t="s">
        <v>148</v>
      </c>
      <c r="C6" s="57" t="s">
        <v>170</v>
      </c>
      <c r="D6" s="58"/>
      <c r="E6" s="58"/>
      <c r="F6" s="58"/>
      <c r="G6" s="59"/>
      <c r="J6" s="154"/>
      <c r="K6" s="157"/>
      <c r="L6" s="157"/>
      <c r="M6" s="159"/>
      <c r="N6" s="154"/>
      <c r="O6" s="154"/>
      <c r="P6" s="160"/>
      <c r="Q6" s="156"/>
    </row>
    <row r="7" spans="1:17" customFormat="1" x14ac:dyDescent="0.35">
      <c r="B7" s="128" t="s">
        <v>149</v>
      </c>
      <c r="C7" s="57"/>
      <c r="D7" s="58"/>
      <c r="E7" s="58"/>
      <c r="F7" s="58"/>
      <c r="G7" s="59"/>
      <c r="J7" s="154"/>
      <c r="K7" s="157"/>
      <c r="L7" s="157"/>
      <c r="M7" s="159"/>
      <c r="N7" s="154"/>
      <c r="O7" s="154"/>
      <c r="P7" s="160"/>
      <c r="Q7" s="156"/>
    </row>
    <row r="8" spans="1:17" customFormat="1" x14ac:dyDescent="0.35">
      <c r="B8" s="128" t="s">
        <v>45</v>
      </c>
      <c r="C8" s="57"/>
      <c r="D8" s="58"/>
      <c r="E8" s="58"/>
      <c r="F8" s="58"/>
      <c r="G8" s="59"/>
      <c r="J8" s="154"/>
      <c r="K8" s="157"/>
      <c r="L8" s="157"/>
      <c r="M8" s="159"/>
      <c r="N8" s="154"/>
      <c r="O8" s="154"/>
      <c r="P8" s="160"/>
      <c r="Q8" s="156"/>
    </row>
    <row r="9" spans="1:17" customFormat="1" ht="131.25" customHeight="1" x14ac:dyDescent="0.35">
      <c r="B9" s="128" t="s">
        <v>150</v>
      </c>
      <c r="C9" s="187" t="s">
        <v>171</v>
      </c>
      <c r="D9" s="188"/>
      <c r="E9" s="188"/>
      <c r="F9" s="188"/>
      <c r="G9" s="189"/>
      <c r="J9" s="161"/>
      <c r="K9" s="162"/>
      <c r="L9" s="162"/>
      <c r="M9" s="159"/>
      <c r="N9" s="156"/>
      <c r="O9" s="156"/>
      <c r="P9" s="156"/>
      <c r="Q9" s="156"/>
    </row>
    <row r="10" spans="1:17" ht="17.25" customHeight="1" x14ac:dyDescent="0.35"/>
    <row r="12" spans="1:17" x14ac:dyDescent="0.35">
      <c r="A12" s="183" t="s">
        <v>129</v>
      </c>
      <c r="B12" s="123" t="s">
        <v>101</v>
      </c>
      <c r="C12" s="119">
        <v>0</v>
      </c>
      <c r="D12" s="182">
        <v>0.2</v>
      </c>
      <c r="E12" s="131" t="s">
        <v>130</v>
      </c>
    </row>
    <row r="13" spans="1:17" x14ac:dyDescent="0.35">
      <c r="A13" s="183"/>
      <c r="B13" s="123" t="s">
        <v>104</v>
      </c>
      <c r="C13" s="119">
        <v>1</v>
      </c>
      <c r="D13" s="182">
        <v>0.5</v>
      </c>
      <c r="E13" s="131" t="s">
        <v>130</v>
      </c>
    </row>
    <row r="14" spans="1:17" x14ac:dyDescent="0.35">
      <c r="A14" s="183"/>
      <c r="B14" s="123" t="s">
        <v>106</v>
      </c>
      <c r="C14" s="119">
        <v>0</v>
      </c>
      <c r="D14" s="182">
        <v>0.5</v>
      </c>
      <c r="E14" s="131" t="s">
        <v>130</v>
      </c>
    </row>
    <row r="15" spans="1:17" x14ac:dyDescent="0.35">
      <c r="A15" s="183"/>
      <c r="B15" s="123" t="s">
        <v>107</v>
      </c>
      <c r="C15" s="119">
        <v>0</v>
      </c>
      <c r="D15" s="182">
        <v>0.2</v>
      </c>
      <c r="E15" s="131" t="s">
        <v>130</v>
      </c>
    </row>
    <row r="16" spans="1:17" x14ac:dyDescent="0.35">
      <c r="A16" s="183"/>
      <c r="B16" s="123" t="s">
        <v>108</v>
      </c>
      <c r="C16" s="119">
        <v>0</v>
      </c>
      <c r="D16" s="182">
        <v>0.2</v>
      </c>
      <c r="E16" s="131" t="s">
        <v>130</v>
      </c>
    </row>
    <row r="17" spans="1:27" s="126" customFormat="1" ht="15" thickBot="1" x14ac:dyDescent="0.4">
      <c r="B17" s="127"/>
      <c r="C17" s="125"/>
    </row>
    <row r="18" spans="1:27" ht="17.25" customHeight="1" x14ac:dyDescent="0.35">
      <c r="A18" s="190" t="s">
        <v>125</v>
      </c>
      <c r="B18" s="134" t="s">
        <v>95</v>
      </c>
      <c r="C18" s="98">
        <v>7</v>
      </c>
    </row>
    <row r="19" spans="1:27" x14ac:dyDescent="0.35">
      <c r="A19" s="191"/>
      <c r="B19" s="131" t="s">
        <v>96</v>
      </c>
      <c r="C19" s="99">
        <v>4</v>
      </c>
    </row>
    <row r="20" spans="1:27" ht="15" thickBot="1" x14ac:dyDescent="0.4">
      <c r="A20" s="192"/>
      <c r="B20" s="136" t="s">
        <v>97</v>
      </c>
      <c r="C20" s="116">
        <v>1.5</v>
      </c>
      <c r="AA20" s="101">
        <f>'general info'!C185</f>
        <v>0</v>
      </c>
    </row>
    <row r="21" spans="1:27" x14ac:dyDescent="0.35">
      <c r="A21" s="190" t="s">
        <v>124</v>
      </c>
      <c r="B21" s="134" t="s">
        <v>116</v>
      </c>
      <c r="C21" s="117">
        <f>C18+((C12*0.2)*2)+((C13*0.5)*2)+((C14*0.5)*2+((C15*0.2)*2+((C16*0.2)*2)))</f>
        <v>8</v>
      </c>
    </row>
    <row r="22" spans="1:27" x14ac:dyDescent="0.35">
      <c r="A22" s="191"/>
      <c r="B22" s="131" t="s">
        <v>117</v>
      </c>
      <c r="C22" s="118">
        <f>C19+((C12*0.2)*2)+((C13*0.5)*2)+((C14*0.5)*2+((C15*0.2)*2+((C16*0.2)*2)))</f>
        <v>5</v>
      </c>
    </row>
    <row r="23" spans="1:27" x14ac:dyDescent="0.35">
      <c r="A23" s="191"/>
      <c r="B23" s="131" t="s">
        <v>118</v>
      </c>
      <c r="C23" s="118">
        <f>C20</f>
        <v>1.5</v>
      </c>
    </row>
    <row r="24" spans="1:27" x14ac:dyDescent="0.35">
      <c r="A24" s="191"/>
      <c r="B24" s="131" t="s">
        <v>98</v>
      </c>
      <c r="C24" s="100">
        <f>C18*C19*C20</f>
        <v>42</v>
      </c>
    </row>
    <row r="25" spans="1:27" x14ac:dyDescent="0.35">
      <c r="A25" s="191"/>
      <c r="B25" s="131" t="s">
        <v>99</v>
      </c>
      <c r="C25" s="100">
        <f>(C18+C19)*2</f>
        <v>22</v>
      </c>
      <c r="E25" s="101" t="s">
        <v>141</v>
      </c>
    </row>
    <row r="26" spans="1:27" x14ac:dyDescent="0.35">
      <c r="A26" s="191"/>
      <c r="B26" s="123" t="s">
        <v>120</v>
      </c>
      <c r="C26" s="103">
        <f>C21*C23*2</f>
        <v>24</v>
      </c>
    </row>
    <row r="27" spans="1:27" x14ac:dyDescent="0.35">
      <c r="A27" s="191"/>
      <c r="B27" s="123" t="s">
        <v>121</v>
      </c>
      <c r="C27" s="103">
        <f>C22*C23*2</f>
        <v>15</v>
      </c>
    </row>
    <row r="28" spans="1:27" x14ac:dyDescent="0.35">
      <c r="A28" s="191"/>
      <c r="B28" s="123" t="s">
        <v>122</v>
      </c>
      <c r="C28" s="103">
        <f>C21*C22</f>
        <v>40</v>
      </c>
    </row>
    <row r="29" spans="1:27" x14ac:dyDescent="0.35">
      <c r="A29" s="191"/>
      <c r="B29" s="123" t="s">
        <v>123</v>
      </c>
      <c r="C29" s="103">
        <f>C25*((C12*D12)+(D13*C13)+(D14*C14)+(D15*C15)+(D16*C16))</f>
        <v>11</v>
      </c>
    </row>
    <row r="30" spans="1:27" ht="15" thickBot="1" x14ac:dyDescent="0.4">
      <c r="A30" s="192"/>
      <c r="B30" s="137" t="s">
        <v>119</v>
      </c>
      <c r="C30" s="104">
        <f>C26+C27+C28+C29</f>
        <v>90</v>
      </c>
    </row>
    <row r="31" spans="1:27" x14ac:dyDescent="0.35">
      <c r="A31" s="190" t="s">
        <v>114</v>
      </c>
      <c r="B31" s="134" t="s">
        <v>137</v>
      </c>
      <c r="C31" s="98">
        <v>0.5</v>
      </c>
      <c r="D31" s="151"/>
    </row>
    <row r="32" spans="1:27" x14ac:dyDescent="0.35">
      <c r="A32" s="191"/>
      <c r="B32" s="131" t="s">
        <v>93</v>
      </c>
      <c r="C32" s="148">
        <f>((C25/C31)+4)</f>
        <v>48</v>
      </c>
    </row>
    <row r="33" spans="1:4" x14ac:dyDescent="0.35">
      <c r="A33" s="191"/>
      <c r="B33" s="132" t="s">
        <v>127</v>
      </c>
      <c r="C33" s="149">
        <f>C23*((D12*C12)+(D13*C13)+(D14*C14)+(D15*C15)+(D16*C16))*1.15*C32</f>
        <v>41.4</v>
      </c>
    </row>
    <row r="34" spans="1:4" x14ac:dyDescent="0.35">
      <c r="A34" s="191"/>
      <c r="B34" s="131" t="s">
        <v>110</v>
      </c>
      <c r="C34" s="102">
        <f>C20+(((D12*C12)+(D13*C13)+(D14*C14)+(D15*C15)+(D16*C16))*2)</f>
        <v>2.5</v>
      </c>
    </row>
    <row r="35" spans="1:4" x14ac:dyDescent="0.35">
      <c r="A35" s="191"/>
      <c r="B35" s="131" t="s">
        <v>111</v>
      </c>
      <c r="C35" s="102">
        <v>0.2</v>
      </c>
    </row>
    <row r="36" spans="1:4" ht="15" thickBot="1" x14ac:dyDescent="0.4">
      <c r="A36" s="192"/>
      <c r="B36" s="135" t="s">
        <v>112</v>
      </c>
      <c r="C36" s="150">
        <f>C34*C35*C32</f>
        <v>24</v>
      </c>
      <c r="D36" s="101" t="s">
        <v>102</v>
      </c>
    </row>
    <row r="37" spans="1:4" ht="45" customHeight="1" x14ac:dyDescent="0.35">
      <c r="A37" s="191" t="s">
        <v>115</v>
      </c>
      <c r="B37" s="133" t="s">
        <v>100</v>
      </c>
      <c r="C37" s="99">
        <v>1</v>
      </c>
      <c r="D37" s="185"/>
    </row>
    <row r="38" spans="1:4" x14ac:dyDescent="0.35">
      <c r="A38" s="191"/>
      <c r="B38" s="133" t="s">
        <v>94</v>
      </c>
      <c r="C38" s="99">
        <v>1</v>
      </c>
      <c r="D38" s="185"/>
    </row>
    <row r="39" spans="1:4" x14ac:dyDescent="0.35">
      <c r="A39" s="191"/>
      <c r="B39" s="133" t="s">
        <v>103</v>
      </c>
      <c r="C39" s="100">
        <f>(C18+C19+C18+C19)*C38</f>
        <v>22</v>
      </c>
    </row>
    <row r="40" spans="1:4" x14ac:dyDescent="0.35">
      <c r="A40" s="191"/>
      <c r="B40" s="131" t="s">
        <v>109</v>
      </c>
      <c r="C40" s="100">
        <v>0.3</v>
      </c>
    </row>
    <row r="41" spans="1:4" x14ac:dyDescent="0.35">
      <c r="A41" s="193"/>
      <c r="B41" s="146" t="s">
        <v>146</v>
      </c>
      <c r="C41" s="147">
        <f>C39*10.86</f>
        <v>238.92</v>
      </c>
    </row>
    <row r="42" spans="1:4" ht="15" thickBot="1" x14ac:dyDescent="0.4">
      <c r="A42" s="193"/>
      <c r="B42" s="163" t="s">
        <v>113</v>
      </c>
      <c r="C42" s="164">
        <f>C39*C40</f>
        <v>6.6</v>
      </c>
    </row>
    <row r="43" spans="1:4" x14ac:dyDescent="0.35">
      <c r="A43" s="190" t="s">
        <v>151</v>
      </c>
      <c r="B43" s="167" t="s">
        <v>152</v>
      </c>
      <c r="C43" s="169">
        <v>1500</v>
      </c>
    </row>
    <row r="44" spans="1:4" x14ac:dyDescent="0.35">
      <c r="A44" s="191"/>
      <c r="B44" s="168" t="s">
        <v>153</v>
      </c>
      <c r="C44" s="170">
        <v>500</v>
      </c>
    </row>
    <row r="45" spans="1:4" x14ac:dyDescent="0.35">
      <c r="A45" s="191"/>
      <c r="B45" s="165"/>
      <c r="C45" s="170"/>
    </row>
    <row r="46" spans="1:4" x14ac:dyDescent="0.35">
      <c r="A46" s="191"/>
      <c r="B46" s="165"/>
      <c r="C46" s="170"/>
    </row>
    <row r="47" spans="1:4" x14ac:dyDescent="0.35">
      <c r="A47" s="191"/>
      <c r="B47" s="165"/>
      <c r="C47" s="170"/>
    </row>
    <row r="48" spans="1:4" ht="15" thickBot="1" x14ac:dyDescent="0.4">
      <c r="A48" s="192"/>
      <c r="B48" s="166"/>
      <c r="C48" s="171"/>
    </row>
    <row r="49" spans="2:3" ht="15" thickBot="1" x14ac:dyDescent="0.4"/>
    <row r="50" spans="2:3" ht="15" thickBot="1" x14ac:dyDescent="0.4">
      <c r="B50" s="138" t="s">
        <v>131</v>
      </c>
      <c r="C50" s="141">
        <f>'PARTS CALCULATIONS'!M10+'PARTS CALCULATIONS'!M30+'PARTS CALCULATIONS'!M49+'PARTS CALCULATIONS'!M69+C41+C43+C44+C45+C46+C47+C48</f>
        <v>17477.594954999997</v>
      </c>
    </row>
    <row r="51" spans="2:3" ht="29" x14ac:dyDescent="0.35">
      <c r="B51" s="139" t="s">
        <v>132</v>
      </c>
      <c r="C51" s="140">
        <v>1</v>
      </c>
    </row>
    <row r="52" spans="2:3" x14ac:dyDescent="0.35">
      <c r="B52" s="121" t="s">
        <v>133</v>
      </c>
      <c r="C52" s="99">
        <v>2</v>
      </c>
    </row>
    <row r="53" spans="2:3" x14ac:dyDescent="0.35">
      <c r="B53" s="121" t="s">
        <v>134</v>
      </c>
      <c r="C53" s="99">
        <v>3</v>
      </c>
    </row>
    <row r="54" spans="2:3" x14ac:dyDescent="0.35">
      <c r="B54" s="121" t="s">
        <v>144</v>
      </c>
      <c r="C54" s="118">
        <v>20</v>
      </c>
    </row>
    <row r="55" spans="2:3" ht="15" thickBot="1" x14ac:dyDescent="0.4">
      <c r="B55" s="143" t="s">
        <v>138</v>
      </c>
      <c r="C55" s="144">
        <f>(C53*8)*C52*C51*C54</f>
        <v>960</v>
      </c>
    </row>
    <row r="56" spans="2:3" x14ac:dyDescent="0.35">
      <c r="B56" s="120" t="s">
        <v>139</v>
      </c>
      <c r="C56" s="145">
        <f>C50+C55</f>
        <v>18437.594954999997</v>
      </c>
    </row>
    <row r="57" spans="2:3" x14ac:dyDescent="0.35">
      <c r="B57" s="121" t="s">
        <v>135</v>
      </c>
      <c r="C57" s="99">
        <v>1.35</v>
      </c>
    </row>
    <row r="58" spans="2:3" ht="15" thickBot="1" x14ac:dyDescent="0.4">
      <c r="B58" s="122" t="s">
        <v>140</v>
      </c>
      <c r="C58" s="142">
        <f>C56*C57</f>
        <v>24890.753189249997</v>
      </c>
    </row>
    <row r="59" spans="2:3" ht="15" thickBot="1" x14ac:dyDescent="0.4">
      <c r="B59" s="153" t="s">
        <v>147</v>
      </c>
      <c r="C59" s="152">
        <v>24000</v>
      </c>
    </row>
  </sheetData>
  <mergeCells count="12">
    <mergeCell ref="A43:A48"/>
    <mergeCell ref="A31:A36"/>
    <mergeCell ref="A37:A42"/>
    <mergeCell ref="A21:A30"/>
    <mergeCell ref="A18:A20"/>
    <mergeCell ref="A12:A16"/>
    <mergeCell ref="B1:E1"/>
    <mergeCell ref="D37:D38"/>
    <mergeCell ref="N2:O2"/>
    <mergeCell ref="N3:O3"/>
    <mergeCell ref="N4:O4"/>
    <mergeCell ref="C9:G9"/>
  </mergeCells>
  <pageMargins left="0.7" right="0.7" top="0.75" bottom="0.75" header="0.3" footer="0.3"/>
  <pageSetup orientation="portrait" horizontalDpi="4294967293" verticalDpi="4294967293" r:id="rId1"/>
  <ignoredErrors>
    <ignoredError sqref="C32:C33 C36" evalErro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82"/>
  <sheetViews>
    <sheetView workbookViewId="0">
      <selection activeCell="J4" sqref="J4"/>
    </sheetView>
  </sheetViews>
  <sheetFormatPr defaultRowHeight="14.5" x14ac:dyDescent="0.35"/>
  <cols>
    <col min="2" max="2" width="43.453125" customWidth="1"/>
    <col min="11" max="11" width="12.54296875" customWidth="1"/>
    <col min="12" max="12" width="16.26953125" style="1" customWidth="1"/>
    <col min="13" max="13" width="41" style="181" customWidth="1"/>
  </cols>
  <sheetData>
    <row r="1" spans="1:14" s="1" customFormat="1" ht="15" customHeight="1" x14ac:dyDescent="0.35">
      <c r="B1" s="194" t="s">
        <v>46</v>
      </c>
      <c r="C1" s="194"/>
      <c r="D1" s="194"/>
      <c r="E1" s="194"/>
      <c r="F1" s="194"/>
      <c r="G1" s="194"/>
      <c r="H1" s="194"/>
      <c r="I1" s="194"/>
      <c r="J1" s="195"/>
      <c r="M1" s="172"/>
    </row>
    <row r="2" spans="1:14" s="1" customFormat="1" ht="40" thickBot="1" x14ac:dyDescent="0.4">
      <c r="A2" s="196" t="s">
        <v>105</v>
      </c>
      <c r="B2" s="37" t="s">
        <v>0</v>
      </c>
      <c r="C2" s="3" t="s">
        <v>1</v>
      </c>
      <c r="D2" s="4" t="s">
        <v>2</v>
      </c>
      <c r="E2" s="5" t="s">
        <v>3</v>
      </c>
      <c r="F2" s="6" t="s">
        <v>4</v>
      </c>
      <c r="G2" s="2" t="s">
        <v>5</v>
      </c>
      <c r="H2" s="2" t="s">
        <v>6</v>
      </c>
      <c r="I2" s="2" t="s">
        <v>7</v>
      </c>
      <c r="J2" s="2" t="s">
        <v>8</v>
      </c>
      <c r="M2" s="172"/>
    </row>
    <row r="3" spans="1:14" s="1" customFormat="1" ht="20.149999999999999" customHeight="1" thickBot="1" x14ac:dyDescent="0.4">
      <c r="A3" s="196"/>
      <c r="B3" s="38" t="s">
        <v>9</v>
      </c>
      <c r="C3" s="45"/>
      <c r="D3" s="8" t="s">
        <v>10</v>
      </c>
      <c r="E3" s="9">
        <v>3.56</v>
      </c>
      <c r="F3" s="8">
        <v>0.75</v>
      </c>
      <c r="G3" s="10" t="s">
        <v>11</v>
      </c>
      <c r="H3" s="11">
        <f t="shared" ref="H3:H15" si="0">C3*F3</f>
        <v>0</v>
      </c>
      <c r="I3" s="8">
        <v>0</v>
      </c>
      <c r="J3" s="12">
        <f t="shared" ref="J3:J11" si="1">H3*E3</f>
        <v>0</v>
      </c>
      <c r="M3" s="172"/>
    </row>
    <row r="4" spans="1:14" s="1" customFormat="1" ht="20.149999999999999" customHeight="1" thickBot="1" x14ac:dyDescent="0.4">
      <c r="A4" s="196"/>
      <c r="B4" s="39" t="s">
        <v>154</v>
      </c>
      <c r="C4" s="48">
        <v>1</v>
      </c>
      <c r="D4" s="13" t="s">
        <v>10</v>
      </c>
      <c r="E4" s="14">
        <v>5</v>
      </c>
      <c r="F4" s="13">
        <v>0.75</v>
      </c>
      <c r="G4" s="15" t="s">
        <v>11</v>
      </c>
      <c r="H4" s="16">
        <f t="shared" si="0"/>
        <v>0.75</v>
      </c>
      <c r="I4" s="13">
        <v>0</v>
      </c>
      <c r="J4" s="17">
        <f t="shared" si="1"/>
        <v>3.75</v>
      </c>
      <c r="L4" s="18" t="s">
        <v>31</v>
      </c>
      <c r="M4" s="173">
        <f>'general info'!C30</f>
        <v>90</v>
      </c>
    </row>
    <row r="5" spans="1:14" s="1" customFormat="1" ht="36" customHeight="1" thickBot="1" x14ac:dyDescent="0.4">
      <c r="A5" s="196"/>
      <c r="B5" s="51" t="s">
        <v>12</v>
      </c>
      <c r="C5" s="52"/>
      <c r="D5" s="53" t="s">
        <v>10</v>
      </c>
      <c r="E5" s="54">
        <v>3.6</v>
      </c>
      <c r="F5" s="53">
        <v>1</v>
      </c>
      <c r="G5" s="55" t="s">
        <v>11</v>
      </c>
      <c r="H5" s="51">
        <f t="shared" si="0"/>
        <v>0</v>
      </c>
      <c r="I5" s="53">
        <v>0</v>
      </c>
      <c r="J5" s="56">
        <f t="shared" si="1"/>
        <v>0</v>
      </c>
      <c r="L5" s="7" t="s">
        <v>32</v>
      </c>
      <c r="M5" s="174">
        <f>M4*10%</f>
        <v>9</v>
      </c>
      <c r="N5" s="18"/>
    </row>
    <row r="6" spans="1:14" s="1" customFormat="1" ht="20.149999999999999" customHeight="1" thickBot="1" x14ac:dyDescent="0.4">
      <c r="A6" s="196"/>
      <c r="B6" s="39" t="s">
        <v>13</v>
      </c>
      <c r="C6" s="48">
        <v>1</v>
      </c>
      <c r="D6" s="13" t="s">
        <v>10</v>
      </c>
      <c r="E6" s="14">
        <v>3.5</v>
      </c>
      <c r="F6" s="13">
        <v>0.1</v>
      </c>
      <c r="G6" s="15" t="s">
        <v>11</v>
      </c>
      <c r="H6" s="16">
        <f t="shared" si="0"/>
        <v>0.1</v>
      </c>
      <c r="I6" s="13">
        <v>0</v>
      </c>
      <c r="J6" s="17">
        <f t="shared" si="1"/>
        <v>0.35000000000000003</v>
      </c>
      <c r="L6" s="1" t="s">
        <v>33</v>
      </c>
      <c r="M6" s="175">
        <f>(M11*M12*8)/(M4+M5)</f>
        <v>3.2323232323232323</v>
      </c>
    </row>
    <row r="7" spans="1:14" s="1" customFormat="1" ht="20.149999999999999" customHeight="1" thickBot="1" x14ac:dyDescent="0.4">
      <c r="A7" s="196"/>
      <c r="B7" s="39" t="s">
        <v>14</v>
      </c>
      <c r="C7" s="49"/>
      <c r="D7" s="13" t="s">
        <v>15</v>
      </c>
      <c r="E7" s="14">
        <v>0.6</v>
      </c>
      <c r="F7" s="13">
        <v>0.03</v>
      </c>
      <c r="G7" s="19">
        <f>(2.2*F7)</f>
        <v>6.6000000000000003E-2</v>
      </c>
      <c r="H7" s="16">
        <f t="shared" si="0"/>
        <v>0</v>
      </c>
      <c r="I7" s="13">
        <f t="shared" ref="I7:I15" si="2">C7*G7</f>
        <v>0</v>
      </c>
      <c r="J7" s="17">
        <f t="shared" si="1"/>
        <v>0</v>
      </c>
      <c r="L7" s="1" t="s">
        <v>34</v>
      </c>
      <c r="M7" s="176">
        <v>22</v>
      </c>
    </row>
    <row r="8" spans="1:14" s="1" customFormat="1" ht="20.149999999999999" customHeight="1" thickBot="1" x14ac:dyDescent="0.4">
      <c r="A8" s="196"/>
      <c r="B8" s="39" t="s">
        <v>16</v>
      </c>
      <c r="C8" s="49">
        <v>1</v>
      </c>
      <c r="D8" s="13" t="s">
        <v>15</v>
      </c>
      <c r="E8" s="14">
        <v>2.14</v>
      </c>
      <c r="F8" s="13">
        <v>0.3</v>
      </c>
      <c r="G8" s="19">
        <f>(2.2*F8)</f>
        <v>0.66</v>
      </c>
      <c r="H8" s="16">
        <f t="shared" si="0"/>
        <v>0.3</v>
      </c>
      <c r="I8" s="13">
        <f t="shared" si="2"/>
        <v>0.66</v>
      </c>
      <c r="J8" s="17">
        <f t="shared" si="1"/>
        <v>0.64200000000000002</v>
      </c>
      <c r="L8" s="1" t="s">
        <v>35</v>
      </c>
      <c r="M8" s="176">
        <f>(M4+M5)*J19</f>
        <v>3724.2314999999999</v>
      </c>
    </row>
    <row r="9" spans="1:14" s="1" customFormat="1" ht="20.149999999999999" customHeight="1" thickBot="1" x14ac:dyDescent="0.4">
      <c r="A9" s="196"/>
      <c r="B9" s="39" t="s">
        <v>17</v>
      </c>
      <c r="C9" s="49">
        <v>4</v>
      </c>
      <c r="D9" s="13" t="s">
        <v>15</v>
      </c>
      <c r="E9" s="14">
        <v>2.09</v>
      </c>
      <c r="F9" s="13">
        <v>0.45</v>
      </c>
      <c r="G9" s="19">
        <f>(2.2*F9)</f>
        <v>0.9900000000000001</v>
      </c>
      <c r="H9" s="16">
        <f t="shared" si="0"/>
        <v>1.8</v>
      </c>
      <c r="I9" s="13">
        <f t="shared" si="2"/>
        <v>3.9600000000000004</v>
      </c>
      <c r="J9" s="17">
        <f t="shared" si="1"/>
        <v>3.762</v>
      </c>
      <c r="L9" s="1" t="s">
        <v>36</v>
      </c>
      <c r="M9" s="176">
        <f>M6*M4*M7</f>
        <v>6399.9999999999991</v>
      </c>
    </row>
    <row r="10" spans="1:14" s="1" customFormat="1" ht="20.149999999999999" customHeight="1" thickBot="1" x14ac:dyDescent="0.4">
      <c r="A10" s="196"/>
      <c r="B10" s="39" t="s">
        <v>18</v>
      </c>
      <c r="C10" s="49"/>
      <c r="D10" s="13" t="s">
        <v>15</v>
      </c>
      <c r="E10" s="14">
        <v>1.95</v>
      </c>
      <c r="F10" s="13">
        <v>0.6</v>
      </c>
      <c r="G10" s="19">
        <f>(2.2*F10)</f>
        <v>1.32</v>
      </c>
      <c r="H10" s="16">
        <f t="shared" si="0"/>
        <v>0</v>
      </c>
      <c r="I10" s="13">
        <f t="shared" si="2"/>
        <v>0</v>
      </c>
      <c r="J10" s="17">
        <f t="shared" si="1"/>
        <v>0</v>
      </c>
      <c r="L10" s="1" t="s">
        <v>37</v>
      </c>
      <c r="M10" s="176">
        <f>(M9+M8)*1.15</f>
        <v>11642.866224999996</v>
      </c>
      <c r="N10"/>
    </row>
    <row r="11" spans="1:14" s="1" customFormat="1" ht="20.149999999999999" customHeight="1" thickBot="1" x14ac:dyDescent="0.4">
      <c r="A11" s="196"/>
      <c r="B11" s="39" t="s">
        <v>19</v>
      </c>
      <c r="C11" s="49">
        <v>1</v>
      </c>
      <c r="D11" s="13" t="s">
        <v>15</v>
      </c>
      <c r="E11" s="14">
        <v>1.95</v>
      </c>
      <c r="F11" s="13">
        <v>0.8</v>
      </c>
      <c r="G11" s="19">
        <f>(2.2*F11)</f>
        <v>1.7600000000000002</v>
      </c>
      <c r="H11" s="16">
        <f t="shared" si="0"/>
        <v>0.8</v>
      </c>
      <c r="I11" s="13">
        <f t="shared" si="2"/>
        <v>1.7600000000000002</v>
      </c>
      <c r="J11" s="17">
        <f t="shared" si="1"/>
        <v>1.56</v>
      </c>
      <c r="L11" s="1" t="s">
        <v>142</v>
      </c>
      <c r="M11" s="177">
        <v>2</v>
      </c>
      <c r="N11"/>
    </row>
    <row r="12" spans="1:14" s="1" customFormat="1" ht="20.149999999999999" customHeight="1" thickBot="1" x14ac:dyDescent="0.4">
      <c r="A12" s="196"/>
      <c r="B12" s="39" t="s">
        <v>20</v>
      </c>
      <c r="C12" s="49"/>
      <c r="D12" s="13" t="s">
        <v>15</v>
      </c>
      <c r="E12" s="14">
        <v>6.8</v>
      </c>
      <c r="F12" s="13"/>
      <c r="G12" s="19">
        <v>0.75</v>
      </c>
      <c r="H12" s="16">
        <f t="shared" si="0"/>
        <v>0</v>
      </c>
      <c r="I12" s="13">
        <f t="shared" si="2"/>
        <v>0</v>
      </c>
      <c r="J12" s="17">
        <f>C12*E12</f>
        <v>0</v>
      </c>
      <c r="L12" s="1" t="s">
        <v>143</v>
      </c>
      <c r="M12" s="178">
        <v>20</v>
      </c>
      <c r="N12"/>
    </row>
    <row r="13" spans="1:14" s="1" customFormat="1" ht="20.149999999999999" customHeight="1" thickBot="1" x14ac:dyDescent="0.4">
      <c r="A13" s="196"/>
      <c r="B13" s="39" t="s">
        <v>21</v>
      </c>
      <c r="C13" s="49">
        <v>1</v>
      </c>
      <c r="D13" s="13" t="s">
        <v>15</v>
      </c>
      <c r="E13" s="14">
        <v>8.66</v>
      </c>
      <c r="F13" s="13"/>
      <c r="G13" s="19">
        <v>0.75</v>
      </c>
      <c r="H13" s="16">
        <f t="shared" si="0"/>
        <v>0</v>
      </c>
      <c r="I13" s="13">
        <f t="shared" si="2"/>
        <v>0.75</v>
      </c>
      <c r="J13" s="17">
        <f>C13*E13</f>
        <v>8.66</v>
      </c>
      <c r="L13" s="1" t="s">
        <v>59</v>
      </c>
      <c r="M13" s="178" t="s">
        <v>161</v>
      </c>
    </row>
    <row r="14" spans="1:14" s="1" customFormat="1" ht="20.149999999999999" customHeight="1" thickBot="1" x14ac:dyDescent="0.4">
      <c r="A14" s="196"/>
      <c r="B14" s="39" t="s">
        <v>22</v>
      </c>
      <c r="C14" s="48"/>
      <c r="D14" s="13" t="s">
        <v>15</v>
      </c>
      <c r="E14" s="14">
        <v>9.16</v>
      </c>
      <c r="F14" s="13"/>
      <c r="G14" s="19">
        <v>0.75</v>
      </c>
      <c r="H14" s="16">
        <f t="shared" si="0"/>
        <v>0</v>
      </c>
      <c r="I14" s="13">
        <f t="shared" si="2"/>
        <v>0</v>
      </c>
      <c r="J14" s="17">
        <f>C14*E14</f>
        <v>0</v>
      </c>
      <c r="L14" s="1" t="s">
        <v>155</v>
      </c>
      <c r="M14" s="178"/>
    </row>
    <row r="15" spans="1:14" s="1" customFormat="1" ht="20.149999999999999" customHeight="1" thickBot="1" x14ac:dyDescent="0.4">
      <c r="A15" s="196"/>
      <c r="B15" s="40" t="s">
        <v>27</v>
      </c>
      <c r="C15" s="50"/>
      <c r="D15" s="20" t="s">
        <v>15</v>
      </c>
      <c r="E15" s="21">
        <v>3.74</v>
      </c>
      <c r="F15" s="20"/>
      <c r="G15" s="22">
        <v>0.75</v>
      </c>
      <c r="H15" s="23">
        <f t="shared" si="0"/>
        <v>0</v>
      </c>
      <c r="I15" s="20">
        <f t="shared" si="2"/>
        <v>0</v>
      </c>
      <c r="J15" s="24">
        <f>C15*E15</f>
        <v>0</v>
      </c>
      <c r="M15" s="172"/>
    </row>
    <row r="16" spans="1:14" s="1" customFormat="1" ht="45.75" customHeight="1" thickBot="1" x14ac:dyDescent="0.4">
      <c r="A16" s="196"/>
      <c r="B16" s="41"/>
      <c r="C16" s="25"/>
      <c r="D16" s="26"/>
      <c r="E16" s="27"/>
      <c r="F16" s="28"/>
      <c r="G16" s="29"/>
      <c r="H16" s="30"/>
      <c r="I16" s="29">
        <f>SUM(I5:I15)</f>
        <v>7.1300000000000008</v>
      </c>
      <c r="J16" s="31">
        <f>SUM(J3:J15)</f>
        <v>18.724</v>
      </c>
      <c r="K16" s="18" t="s">
        <v>28</v>
      </c>
      <c r="M16" s="172"/>
    </row>
    <row r="17" spans="1:14" s="1" customFormat="1" ht="20.149999999999999" customHeight="1" x14ac:dyDescent="0.35">
      <c r="A17" s="196"/>
      <c r="B17" s="42" t="s">
        <v>23</v>
      </c>
      <c r="C17" s="45"/>
      <c r="D17" s="32" t="s">
        <v>10</v>
      </c>
      <c r="E17" s="9">
        <v>1.65</v>
      </c>
      <c r="F17" s="197" t="s">
        <v>24</v>
      </c>
      <c r="G17" s="198"/>
      <c r="H17" s="199"/>
      <c r="I17" s="8"/>
      <c r="J17" s="12"/>
      <c r="K17" s="18"/>
      <c r="M17" s="172"/>
    </row>
    <row r="18" spans="1:14" s="1" customFormat="1" ht="39.75" customHeight="1" x14ac:dyDescent="0.35">
      <c r="A18" s="196"/>
      <c r="B18" s="43" t="s">
        <v>25</v>
      </c>
      <c r="C18" s="46">
        <v>1</v>
      </c>
      <c r="D18" s="33" t="s">
        <v>10</v>
      </c>
      <c r="E18" s="14">
        <v>2.65</v>
      </c>
      <c r="F18" s="200"/>
      <c r="G18" s="201"/>
      <c r="H18" s="202"/>
      <c r="I18" s="34"/>
      <c r="J18" s="35">
        <f>(I16*E18*C18)+(I16*E19*C19)+(I16*E17*C17)</f>
        <v>18.894500000000001</v>
      </c>
      <c r="K18" s="18" t="s">
        <v>29</v>
      </c>
      <c r="M18" s="172"/>
    </row>
    <row r="19" spans="1:14" s="1" customFormat="1" ht="38.25" customHeight="1" thickBot="1" x14ac:dyDescent="0.4">
      <c r="A19" s="196"/>
      <c r="B19" s="44" t="s">
        <v>26</v>
      </c>
      <c r="C19" s="47"/>
      <c r="D19" s="36" t="s">
        <v>10</v>
      </c>
      <c r="E19" s="21">
        <v>3.8</v>
      </c>
      <c r="F19" s="203"/>
      <c r="G19" s="204"/>
      <c r="H19" s="205"/>
      <c r="I19" s="20"/>
      <c r="J19" s="24">
        <f>J18+J16</f>
        <v>37.618499999999997</v>
      </c>
      <c r="K19" s="18" t="s">
        <v>30</v>
      </c>
      <c r="M19" s="172"/>
    </row>
    <row r="21" spans="1:14" s="1" customFormat="1" x14ac:dyDescent="0.35">
      <c r="B21" s="194" t="s">
        <v>47</v>
      </c>
      <c r="C21" s="194"/>
      <c r="D21" s="194"/>
      <c r="E21" s="194"/>
      <c r="F21" s="194"/>
      <c r="G21" s="194"/>
      <c r="H21" s="194"/>
      <c r="I21" s="194"/>
      <c r="J21" s="195"/>
      <c r="M21" s="172"/>
    </row>
    <row r="22" spans="1:14" s="1" customFormat="1" ht="40" thickBot="1" x14ac:dyDescent="0.4">
      <c r="A22" s="196" t="s">
        <v>126</v>
      </c>
      <c r="B22" s="37" t="s">
        <v>0</v>
      </c>
      <c r="C22" s="3" t="s">
        <v>1</v>
      </c>
      <c r="D22" s="4" t="s">
        <v>2</v>
      </c>
      <c r="E22" s="5" t="s">
        <v>3</v>
      </c>
      <c r="F22" s="6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M22" s="172"/>
    </row>
    <row r="23" spans="1:14" s="1" customFormat="1" ht="29.5" thickBot="1" x14ac:dyDescent="0.4">
      <c r="A23" s="196"/>
      <c r="B23" s="38" t="s">
        <v>9</v>
      </c>
      <c r="C23" s="45">
        <v>1</v>
      </c>
      <c r="D23" s="8" t="s">
        <v>10</v>
      </c>
      <c r="E23" s="9">
        <v>3.56</v>
      </c>
      <c r="F23" s="8">
        <v>0.75</v>
      </c>
      <c r="G23" s="10" t="s">
        <v>11</v>
      </c>
      <c r="H23" s="11">
        <f t="shared" ref="H23:H35" si="3">C23*F23</f>
        <v>0.75</v>
      </c>
      <c r="I23" s="8">
        <v>0</v>
      </c>
      <c r="J23" s="12">
        <f t="shared" ref="J23:J31" si="4">H23*E23</f>
        <v>2.67</v>
      </c>
      <c r="L23" s="1" t="s">
        <v>93</v>
      </c>
      <c r="M23" s="172">
        <f>'general info'!C32</f>
        <v>48</v>
      </c>
    </row>
    <row r="24" spans="1:14" s="1" customFormat="1" ht="15" thickBot="1" x14ac:dyDescent="0.4">
      <c r="A24" s="196"/>
      <c r="B24" s="39" t="s">
        <v>154</v>
      </c>
      <c r="C24" s="48"/>
      <c r="D24" s="13" t="s">
        <v>10</v>
      </c>
      <c r="E24" s="14">
        <v>5</v>
      </c>
      <c r="F24" s="13">
        <v>0.75</v>
      </c>
      <c r="G24" s="15" t="s">
        <v>11</v>
      </c>
      <c r="H24" s="16">
        <f t="shared" si="3"/>
        <v>0</v>
      </c>
      <c r="I24" s="13">
        <v>0</v>
      </c>
      <c r="J24" s="17">
        <f t="shared" si="4"/>
        <v>0</v>
      </c>
      <c r="L24" s="18" t="s">
        <v>31</v>
      </c>
      <c r="M24" s="173">
        <f>'general info'!C33</f>
        <v>41.4</v>
      </c>
    </row>
    <row r="25" spans="1:14" s="1" customFormat="1" ht="26.5" thickBot="1" x14ac:dyDescent="0.4">
      <c r="A25" s="196"/>
      <c r="B25" s="51" t="s">
        <v>12</v>
      </c>
      <c r="C25" s="52"/>
      <c r="D25" s="53" t="s">
        <v>10</v>
      </c>
      <c r="E25" s="54">
        <v>3.6</v>
      </c>
      <c r="F25" s="53">
        <v>1</v>
      </c>
      <c r="G25" s="55" t="s">
        <v>11</v>
      </c>
      <c r="H25" s="51">
        <f t="shared" si="3"/>
        <v>0</v>
      </c>
      <c r="I25" s="53">
        <v>0</v>
      </c>
      <c r="J25" s="56">
        <f t="shared" si="4"/>
        <v>0</v>
      </c>
      <c r="L25" s="7" t="s">
        <v>32</v>
      </c>
      <c r="M25" s="174">
        <f>M24*10%</f>
        <v>4.1399999999999997</v>
      </c>
      <c r="N25" s="18"/>
    </row>
    <row r="26" spans="1:14" s="1" customFormat="1" ht="15" thickBot="1" x14ac:dyDescent="0.4">
      <c r="A26" s="196"/>
      <c r="B26" s="39" t="s">
        <v>13</v>
      </c>
      <c r="C26" s="48">
        <v>1</v>
      </c>
      <c r="D26" s="13" t="s">
        <v>10</v>
      </c>
      <c r="E26" s="14">
        <v>3.5</v>
      </c>
      <c r="F26" s="13">
        <v>0.1</v>
      </c>
      <c r="G26" s="15" t="s">
        <v>11</v>
      </c>
      <c r="H26" s="16">
        <f t="shared" si="3"/>
        <v>0.1</v>
      </c>
      <c r="I26" s="13">
        <v>0</v>
      </c>
      <c r="J26" s="17">
        <f t="shared" si="4"/>
        <v>0.35000000000000003</v>
      </c>
      <c r="L26" s="1" t="s">
        <v>33</v>
      </c>
      <c r="M26" s="179">
        <f>(M31*M32*8)/(M24+M25)</f>
        <v>0.70267896354852877</v>
      </c>
    </row>
    <row r="27" spans="1:14" s="1" customFormat="1" ht="15" thickBot="1" x14ac:dyDescent="0.4">
      <c r="A27" s="196"/>
      <c r="B27" s="39" t="s">
        <v>14</v>
      </c>
      <c r="C27" s="49"/>
      <c r="D27" s="13" t="s">
        <v>15</v>
      </c>
      <c r="E27" s="14">
        <v>0.6</v>
      </c>
      <c r="F27" s="13">
        <v>0.03</v>
      </c>
      <c r="G27" s="19">
        <f>(2.2*F27)</f>
        <v>6.6000000000000003E-2</v>
      </c>
      <c r="H27" s="16">
        <f t="shared" si="3"/>
        <v>0</v>
      </c>
      <c r="I27" s="13">
        <f t="shared" ref="I27:I35" si="5">C27*G27</f>
        <v>0</v>
      </c>
      <c r="J27" s="17">
        <f t="shared" si="4"/>
        <v>0</v>
      </c>
      <c r="L27" s="1" t="s">
        <v>34</v>
      </c>
      <c r="M27" s="176">
        <v>22</v>
      </c>
    </row>
    <row r="28" spans="1:14" s="1" customFormat="1" ht="15" thickBot="1" x14ac:dyDescent="0.4">
      <c r="A28" s="196"/>
      <c r="B28" s="39" t="s">
        <v>16</v>
      </c>
      <c r="C28" s="49"/>
      <c r="D28" s="13" t="s">
        <v>15</v>
      </c>
      <c r="E28" s="14">
        <v>2.14</v>
      </c>
      <c r="F28" s="13">
        <v>0.3</v>
      </c>
      <c r="G28" s="19">
        <f>(2.2*F28)</f>
        <v>0.66</v>
      </c>
      <c r="H28" s="16">
        <f t="shared" si="3"/>
        <v>0</v>
      </c>
      <c r="I28" s="13">
        <f t="shared" si="5"/>
        <v>0</v>
      </c>
      <c r="J28" s="17">
        <f t="shared" si="4"/>
        <v>0</v>
      </c>
      <c r="L28" s="1" t="s">
        <v>35</v>
      </c>
      <c r="M28" s="176">
        <f>(M24+M25)*J39</f>
        <v>745.58087999999998</v>
      </c>
    </row>
    <row r="29" spans="1:14" s="1" customFormat="1" ht="15" thickBot="1" x14ac:dyDescent="0.4">
      <c r="A29" s="196"/>
      <c r="B29" s="39" t="s">
        <v>17</v>
      </c>
      <c r="C29" s="49">
        <v>2</v>
      </c>
      <c r="D29" s="13" t="s">
        <v>15</v>
      </c>
      <c r="E29" s="14">
        <v>2.09</v>
      </c>
      <c r="F29" s="13">
        <v>0.45</v>
      </c>
      <c r="G29" s="19">
        <f>(2.2*F29)</f>
        <v>0.9900000000000001</v>
      </c>
      <c r="H29" s="16">
        <f t="shared" si="3"/>
        <v>0.9</v>
      </c>
      <c r="I29" s="13">
        <f t="shared" si="5"/>
        <v>1.9800000000000002</v>
      </c>
      <c r="J29" s="17">
        <f t="shared" si="4"/>
        <v>1.881</v>
      </c>
      <c r="L29" s="1" t="s">
        <v>36</v>
      </c>
      <c r="M29" s="176">
        <f>M26*M24*M27</f>
        <v>640</v>
      </c>
    </row>
    <row r="30" spans="1:14" s="1" customFormat="1" ht="29.5" thickBot="1" x14ac:dyDescent="0.4">
      <c r="A30" s="196"/>
      <c r="B30" s="39" t="s">
        <v>18</v>
      </c>
      <c r="C30" s="49"/>
      <c r="D30" s="13" t="s">
        <v>15</v>
      </c>
      <c r="E30" s="14">
        <v>1.95</v>
      </c>
      <c r="F30" s="13">
        <v>0.6</v>
      </c>
      <c r="G30" s="19">
        <f>(2.2*F30)</f>
        <v>1.32</v>
      </c>
      <c r="H30" s="16">
        <f t="shared" si="3"/>
        <v>0</v>
      </c>
      <c r="I30" s="13">
        <f t="shared" si="5"/>
        <v>0</v>
      </c>
      <c r="J30" s="17">
        <f t="shared" si="4"/>
        <v>0</v>
      </c>
      <c r="L30" s="1" t="s">
        <v>37</v>
      </c>
      <c r="M30" s="176">
        <f>(M29+M28)*1.15</f>
        <v>1593.4180119999999</v>
      </c>
      <c r="N30"/>
    </row>
    <row r="31" spans="1:14" s="1" customFormat="1" ht="15" thickBot="1" x14ac:dyDescent="0.4">
      <c r="A31" s="196"/>
      <c r="B31" s="39" t="s">
        <v>19</v>
      </c>
      <c r="C31" s="49">
        <v>1</v>
      </c>
      <c r="D31" s="13" t="s">
        <v>15</v>
      </c>
      <c r="E31" s="14">
        <v>1.95</v>
      </c>
      <c r="F31" s="13">
        <v>0.8</v>
      </c>
      <c r="G31" s="19">
        <f>(2.2*F31)</f>
        <v>1.7600000000000002</v>
      </c>
      <c r="H31" s="16">
        <f t="shared" si="3"/>
        <v>0.8</v>
      </c>
      <c r="I31" s="13">
        <f t="shared" si="5"/>
        <v>1.7600000000000002</v>
      </c>
      <c r="J31" s="17">
        <f t="shared" si="4"/>
        <v>1.56</v>
      </c>
      <c r="L31" s="1" t="s">
        <v>142</v>
      </c>
      <c r="M31" s="177">
        <v>1</v>
      </c>
      <c r="N31"/>
    </row>
    <row r="32" spans="1:14" s="1" customFormat="1" ht="15" thickBot="1" x14ac:dyDescent="0.4">
      <c r="A32" s="196"/>
      <c r="B32" s="39" t="s">
        <v>20</v>
      </c>
      <c r="C32" s="49"/>
      <c r="D32" s="13" t="s">
        <v>15</v>
      </c>
      <c r="E32" s="14">
        <v>6.8</v>
      </c>
      <c r="F32" s="13"/>
      <c r="G32" s="19">
        <v>0.75</v>
      </c>
      <c r="H32" s="16">
        <f t="shared" si="3"/>
        <v>0</v>
      </c>
      <c r="I32" s="13">
        <f t="shared" si="5"/>
        <v>0</v>
      </c>
      <c r="J32" s="17">
        <f>C32*E32</f>
        <v>0</v>
      </c>
      <c r="L32" s="1" t="s">
        <v>143</v>
      </c>
      <c r="M32" s="178">
        <v>4</v>
      </c>
      <c r="N32"/>
    </row>
    <row r="33" spans="1:14" s="1" customFormat="1" ht="15" thickBot="1" x14ac:dyDescent="0.4">
      <c r="A33" s="196"/>
      <c r="B33" s="39" t="s">
        <v>21</v>
      </c>
      <c r="C33" s="49"/>
      <c r="D33" s="13" t="s">
        <v>15</v>
      </c>
      <c r="E33" s="14">
        <v>8.66</v>
      </c>
      <c r="F33" s="13"/>
      <c r="G33" s="19">
        <v>0.75</v>
      </c>
      <c r="H33" s="16">
        <f t="shared" si="3"/>
        <v>0</v>
      </c>
      <c r="I33" s="13">
        <f t="shared" si="5"/>
        <v>0</v>
      </c>
      <c r="J33" s="17">
        <f>C33*E33</f>
        <v>0</v>
      </c>
      <c r="L33" s="1" t="s">
        <v>59</v>
      </c>
      <c r="M33" s="178" t="s">
        <v>162</v>
      </c>
    </row>
    <row r="34" spans="1:14" s="1" customFormat="1" ht="15" thickBot="1" x14ac:dyDescent="0.4">
      <c r="A34" s="196"/>
      <c r="B34" s="39" t="s">
        <v>22</v>
      </c>
      <c r="C34" s="48"/>
      <c r="D34" s="13" t="s">
        <v>15</v>
      </c>
      <c r="E34" s="14">
        <v>9.16</v>
      </c>
      <c r="F34" s="13"/>
      <c r="G34" s="19">
        <v>0.75</v>
      </c>
      <c r="H34" s="16">
        <f t="shared" si="3"/>
        <v>0</v>
      </c>
      <c r="I34" s="13">
        <f t="shared" si="5"/>
        <v>0</v>
      </c>
      <c r="J34" s="17">
        <f>C34*E34</f>
        <v>0</v>
      </c>
      <c r="L34" s="1" t="s">
        <v>155</v>
      </c>
      <c r="M34" s="178"/>
    </row>
    <row r="35" spans="1:14" s="1" customFormat="1" ht="15" thickBot="1" x14ac:dyDescent="0.4">
      <c r="A35" s="196"/>
      <c r="B35" s="40" t="s">
        <v>27</v>
      </c>
      <c r="C35" s="50"/>
      <c r="D35" s="20" t="s">
        <v>15</v>
      </c>
      <c r="E35" s="21">
        <v>3.74</v>
      </c>
      <c r="F35" s="20"/>
      <c r="G35" s="22">
        <v>0.75</v>
      </c>
      <c r="H35" s="23">
        <f t="shared" si="3"/>
        <v>0</v>
      </c>
      <c r="I35" s="20">
        <f t="shared" si="5"/>
        <v>0</v>
      </c>
      <c r="J35" s="24">
        <f>C35*E35</f>
        <v>0</v>
      </c>
      <c r="M35" s="172"/>
    </row>
    <row r="36" spans="1:14" s="1" customFormat="1" ht="15.75" customHeight="1" thickBot="1" x14ac:dyDescent="0.4">
      <c r="A36" s="196"/>
      <c r="B36" s="41"/>
      <c r="C36" s="25"/>
      <c r="D36" s="26"/>
      <c r="E36" s="27"/>
      <c r="F36" s="28"/>
      <c r="G36" s="29"/>
      <c r="H36" s="30"/>
      <c r="I36" s="29">
        <f>SUM(I25:I35)</f>
        <v>3.74</v>
      </c>
      <c r="J36" s="31">
        <f>SUM(J23:J35)</f>
        <v>6.4610000000000003</v>
      </c>
      <c r="K36" s="18"/>
      <c r="M36" s="172"/>
    </row>
    <row r="37" spans="1:14" s="1" customFormat="1" x14ac:dyDescent="0.35">
      <c r="A37" s="196"/>
      <c r="B37" s="42" t="s">
        <v>23</v>
      </c>
      <c r="C37" s="45"/>
      <c r="D37" s="32" t="s">
        <v>10</v>
      </c>
      <c r="E37" s="9">
        <v>1.65</v>
      </c>
      <c r="F37" s="197" t="s">
        <v>24</v>
      </c>
      <c r="G37" s="198"/>
      <c r="H37" s="199"/>
      <c r="I37" s="8"/>
      <c r="J37" s="12"/>
      <c r="K37" s="18"/>
      <c r="M37" s="172"/>
    </row>
    <row r="38" spans="1:14" s="1" customFormat="1" x14ac:dyDescent="0.35">
      <c r="A38" s="196"/>
      <c r="B38" s="43" t="s">
        <v>25</v>
      </c>
      <c r="C38" s="46">
        <v>1</v>
      </c>
      <c r="D38" s="33" t="s">
        <v>10</v>
      </c>
      <c r="E38" s="14">
        <v>2.65</v>
      </c>
      <c r="F38" s="200"/>
      <c r="G38" s="201"/>
      <c r="H38" s="202"/>
      <c r="I38" s="34"/>
      <c r="J38" s="35">
        <f>(I36*E38*C38)+(I36*E39*C39)+(I36*E37*C37)</f>
        <v>9.9109999999999996</v>
      </c>
      <c r="K38" s="18"/>
      <c r="M38" s="172"/>
    </row>
    <row r="39" spans="1:14" s="1" customFormat="1" ht="15" thickBot="1" x14ac:dyDescent="0.4">
      <c r="A39" s="196"/>
      <c r="B39" s="44" t="s">
        <v>26</v>
      </c>
      <c r="C39" s="47"/>
      <c r="D39" s="36" t="s">
        <v>10</v>
      </c>
      <c r="E39" s="21">
        <v>3.8</v>
      </c>
      <c r="F39" s="203"/>
      <c r="G39" s="204"/>
      <c r="H39" s="205"/>
      <c r="I39" s="20"/>
      <c r="J39" s="24">
        <f>J38+J36</f>
        <v>16.372</v>
      </c>
      <c r="K39" s="18"/>
      <c r="M39" s="172"/>
    </row>
    <row r="40" spans="1:14" s="97" customFormat="1" x14ac:dyDescent="0.35">
      <c r="A40" s="105"/>
      <c r="B40" s="106"/>
      <c r="C40" s="107"/>
      <c r="D40" s="108"/>
      <c r="E40" s="109"/>
      <c r="F40" s="110"/>
      <c r="G40" s="111"/>
      <c r="H40" s="112"/>
      <c r="I40" s="113"/>
      <c r="J40" s="114"/>
      <c r="K40" s="115"/>
      <c r="M40" s="180"/>
    </row>
    <row r="41" spans="1:14" s="1" customFormat="1" ht="40" thickBot="1" x14ac:dyDescent="0.4">
      <c r="A41" s="196" t="s">
        <v>136</v>
      </c>
      <c r="B41" s="37" t="s">
        <v>0</v>
      </c>
      <c r="C41" s="3" t="s">
        <v>1</v>
      </c>
      <c r="D41" s="4" t="s">
        <v>2</v>
      </c>
      <c r="E41" s="5" t="s">
        <v>3</v>
      </c>
      <c r="F41" s="6" t="s">
        <v>4</v>
      </c>
      <c r="G41" s="2" t="s">
        <v>5</v>
      </c>
      <c r="H41" s="2" t="s">
        <v>6</v>
      </c>
      <c r="I41" s="2" t="s">
        <v>7</v>
      </c>
      <c r="J41" s="2" t="s">
        <v>8</v>
      </c>
      <c r="M41" s="172"/>
    </row>
    <row r="42" spans="1:14" s="1" customFormat="1" ht="15" thickBot="1" x14ac:dyDescent="0.4">
      <c r="A42" s="196"/>
      <c r="B42" s="38" t="s">
        <v>9</v>
      </c>
      <c r="C42" s="45"/>
      <c r="D42" s="8" t="s">
        <v>10</v>
      </c>
      <c r="E42" s="9">
        <v>3.56</v>
      </c>
      <c r="F42" s="8">
        <v>0.75</v>
      </c>
      <c r="G42" s="10" t="s">
        <v>11</v>
      </c>
      <c r="H42" s="11">
        <f t="shared" ref="H42:H54" si="6">C42*F42</f>
        <v>0</v>
      </c>
      <c r="I42" s="8">
        <v>0</v>
      </c>
      <c r="J42" s="12">
        <f t="shared" ref="J42:J50" si="7">H42*E42</f>
        <v>0</v>
      </c>
      <c r="M42" s="172"/>
    </row>
    <row r="43" spans="1:14" s="1" customFormat="1" ht="15" thickBot="1" x14ac:dyDescent="0.4">
      <c r="A43" s="196"/>
      <c r="B43" s="39" t="s">
        <v>154</v>
      </c>
      <c r="C43" s="48"/>
      <c r="D43" s="13" t="s">
        <v>10</v>
      </c>
      <c r="E43" s="14">
        <v>5</v>
      </c>
      <c r="F43" s="13">
        <v>0.75</v>
      </c>
      <c r="G43" s="15" t="s">
        <v>11</v>
      </c>
      <c r="H43" s="16">
        <f t="shared" si="6"/>
        <v>0</v>
      </c>
      <c r="I43" s="13">
        <v>0</v>
      </c>
      <c r="J43" s="17">
        <f t="shared" si="7"/>
        <v>0</v>
      </c>
      <c r="L43" s="18" t="s">
        <v>31</v>
      </c>
      <c r="M43" s="173">
        <f>'general info'!C36</f>
        <v>24</v>
      </c>
    </row>
    <row r="44" spans="1:14" s="1" customFormat="1" ht="26.5" thickBot="1" x14ac:dyDescent="0.4">
      <c r="A44" s="196"/>
      <c r="B44" s="51" t="s">
        <v>12</v>
      </c>
      <c r="C44" s="52"/>
      <c r="D44" s="53" t="s">
        <v>10</v>
      </c>
      <c r="E44" s="54">
        <v>3.6</v>
      </c>
      <c r="F44" s="53">
        <v>1</v>
      </c>
      <c r="G44" s="55" t="s">
        <v>11</v>
      </c>
      <c r="H44" s="51">
        <f t="shared" si="6"/>
        <v>0</v>
      </c>
      <c r="I44" s="53">
        <v>0</v>
      </c>
      <c r="J44" s="56">
        <f t="shared" si="7"/>
        <v>0</v>
      </c>
      <c r="L44" s="7" t="s">
        <v>32</v>
      </c>
      <c r="M44" s="174">
        <f>M43*10%</f>
        <v>2.4000000000000004</v>
      </c>
      <c r="N44" s="18"/>
    </row>
    <row r="45" spans="1:14" s="1" customFormat="1" ht="15" thickBot="1" x14ac:dyDescent="0.4">
      <c r="A45" s="196"/>
      <c r="B45" s="39" t="s">
        <v>13</v>
      </c>
      <c r="C45" s="48">
        <v>1</v>
      </c>
      <c r="D45" s="13" t="s">
        <v>10</v>
      </c>
      <c r="E45" s="14">
        <v>3.5</v>
      </c>
      <c r="F45" s="13">
        <v>0.1</v>
      </c>
      <c r="G45" s="15" t="s">
        <v>11</v>
      </c>
      <c r="H45" s="16">
        <f t="shared" si="6"/>
        <v>0.1</v>
      </c>
      <c r="I45" s="13">
        <v>0</v>
      </c>
      <c r="J45" s="17">
        <f t="shared" si="7"/>
        <v>0.35000000000000003</v>
      </c>
      <c r="L45" s="1" t="s">
        <v>33</v>
      </c>
      <c r="M45" s="179">
        <f>(M50*M51*8)/(M43+M44)</f>
        <v>1.2121212121212122</v>
      </c>
    </row>
    <row r="46" spans="1:14" s="1" customFormat="1" ht="15" thickBot="1" x14ac:dyDescent="0.4">
      <c r="A46" s="196"/>
      <c r="B46" s="39" t="s">
        <v>14</v>
      </c>
      <c r="C46" s="49"/>
      <c r="D46" s="13" t="s">
        <v>15</v>
      </c>
      <c r="E46" s="14">
        <v>0.6</v>
      </c>
      <c r="F46" s="13">
        <v>0.03</v>
      </c>
      <c r="G46" s="19">
        <f>(2.2*F46)</f>
        <v>6.6000000000000003E-2</v>
      </c>
      <c r="H46" s="16">
        <f t="shared" si="6"/>
        <v>0</v>
      </c>
      <c r="I46" s="13">
        <f t="shared" ref="I46:I54" si="8">C46*G46</f>
        <v>0</v>
      </c>
      <c r="J46" s="17">
        <f t="shared" si="7"/>
        <v>0</v>
      </c>
      <c r="L46" s="1" t="s">
        <v>34</v>
      </c>
      <c r="M46" s="176">
        <v>22</v>
      </c>
    </row>
    <row r="47" spans="1:14" s="1" customFormat="1" ht="15" thickBot="1" x14ac:dyDescent="0.4">
      <c r="A47" s="196"/>
      <c r="B47" s="39" t="s">
        <v>16</v>
      </c>
      <c r="C47" s="49"/>
      <c r="D47" s="13" t="s">
        <v>15</v>
      </c>
      <c r="E47" s="14">
        <v>2.14</v>
      </c>
      <c r="F47" s="13">
        <v>0.3</v>
      </c>
      <c r="G47" s="19">
        <f>(2.2*F47)</f>
        <v>0.66</v>
      </c>
      <c r="H47" s="16">
        <f t="shared" si="6"/>
        <v>0</v>
      </c>
      <c r="I47" s="13">
        <f t="shared" si="8"/>
        <v>0</v>
      </c>
      <c r="J47" s="17">
        <f t="shared" si="7"/>
        <v>0</v>
      </c>
      <c r="L47" s="1" t="s">
        <v>35</v>
      </c>
      <c r="M47" s="176">
        <f>(M43+M44)*J58</f>
        <v>361.7328</v>
      </c>
    </row>
    <row r="48" spans="1:14" s="1" customFormat="1" ht="15" thickBot="1" x14ac:dyDescent="0.4">
      <c r="A48" s="196"/>
      <c r="B48" s="39" t="s">
        <v>17</v>
      </c>
      <c r="C48" s="49">
        <v>2</v>
      </c>
      <c r="D48" s="13" t="s">
        <v>15</v>
      </c>
      <c r="E48" s="14">
        <v>2.09</v>
      </c>
      <c r="F48" s="13">
        <v>0.45</v>
      </c>
      <c r="G48" s="19">
        <f>(2.2*F48)</f>
        <v>0.9900000000000001</v>
      </c>
      <c r="H48" s="16">
        <f t="shared" si="6"/>
        <v>0.9</v>
      </c>
      <c r="I48" s="13">
        <f t="shared" si="8"/>
        <v>1.9800000000000002</v>
      </c>
      <c r="J48" s="17">
        <f t="shared" si="7"/>
        <v>1.881</v>
      </c>
      <c r="L48" s="1" t="s">
        <v>36</v>
      </c>
      <c r="M48" s="176">
        <f>M45*M43*M46</f>
        <v>640</v>
      </c>
    </row>
    <row r="49" spans="1:14" s="1" customFormat="1" ht="29.5" thickBot="1" x14ac:dyDescent="0.4">
      <c r="A49" s="196"/>
      <c r="B49" s="39" t="s">
        <v>18</v>
      </c>
      <c r="C49" s="49"/>
      <c r="D49" s="13" t="s">
        <v>15</v>
      </c>
      <c r="E49" s="14">
        <v>1.95</v>
      </c>
      <c r="F49" s="13">
        <v>0.6</v>
      </c>
      <c r="G49" s="19">
        <f>(2.2*F49)</f>
        <v>1.32</v>
      </c>
      <c r="H49" s="16">
        <f t="shared" si="6"/>
        <v>0</v>
      </c>
      <c r="I49" s="13">
        <f t="shared" si="8"/>
        <v>0</v>
      </c>
      <c r="J49" s="17">
        <f t="shared" si="7"/>
        <v>0</v>
      </c>
      <c r="L49" s="1" t="s">
        <v>37</v>
      </c>
      <c r="M49" s="176">
        <f>(M48+M47)*1.15</f>
        <v>1151.99272</v>
      </c>
      <c r="N49"/>
    </row>
    <row r="50" spans="1:14" s="1" customFormat="1" ht="15" thickBot="1" x14ac:dyDescent="0.4">
      <c r="A50" s="196"/>
      <c r="B50" s="39" t="s">
        <v>19</v>
      </c>
      <c r="C50" s="49">
        <v>1</v>
      </c>
      <c r="D50" s="13" t="s">
        <v>15</v>
      </c>
      <c r="E50" s="14">
        <v>1.95</v>
      </c>
      <c r="F50" s="13">
        <v>0.8</v>
      </c>
      <c r="G50" s="19">
        <f>(2.2*F50)</f>
        <v>1.7600000000000002</v>
      </c>
      <c r="H50" s="16">
        <f t="shared" si="6"/>
        <v>0.8</v>
      </c>
      <c r="I50" s="13">
        <f t="shared" si="8"/>
        <v>1.7600000000000002</v>
      </c>
      <c r="J50" s="17">
        <f t="shared" si="7"/>
        <v>1.56</v>
      </c>
      <c r="L50" s="1" t="s">
        <v>142</v>
      </c>
      <c r="M50" s="177">
        <v>1</v>
      </c>
      <c r="N50"/>
    </row>
    <row r="51" spans="1:14" s="1" customFormat="1" ht="15" thickBot="1" x14ac:dyDescent="0.4">
      <c r="A51" s="196"/>
      <c r="B51" s="39" t="s">
        <v>20</v>
      </c>
      <c r="C51" s="49"/>
      <c r="D51" s="13" t="s">
        <v>15</v>
      </c>
      <c r="E51" s="14">
        <v>6.8</v>
      </c>
      <c r="F51" s="13"/>
      <c r="G51" s="19">
        <v>0.75</v>
      </c>
      <c r="H51" s="16">
        <f t="shared" si="6"/>
        <v>0</v>
      </c>
      <c r="I51" s="13">
        <f t="shared" si="8"/>
        <v>0</v>
      </c>
      <c r="J51" s="17">
        <f>C51*E51</f>
        <v>0</v>
      </c>
      <c r="L51" s="1" t="s">
        <v>143</v>
      </c>
      <c r="M51" s="178">
        <v>4</v>
      </c>
      <c r="N51"/>
    </row>
    <row r="52" spans="1:14" s="1" customFormat="1" ht="15" thickBot="1" x14ac:dyDescent="0.4">
      <c r="A52" s="196"/>
      <c r="B52" s="39" t="s">
        <v>21</v>
      </c>
      <c r="C52" s="49"/>
      <c r="D52" s="13" t="s">
        <v>15</v>
      </c>
      <c r="E52" s="14">
        <v>8.66</v>
      </c>
      <c r="F52" s="13"/>
      <c r="G52" s="19">
        <v>0.75</v>
      </c>
      <c r="H52" s="16">
        <f t="shared" si="6"/>
        <v>0</v>
      </c>
      <c r="I52" s="13">
        <f t="shared" si="8"/>
        <v>0</v>
      </c>
      <c r="J52" s="17">
        <f>C52*E52</f>
        <v>0</v>
      </c>
      <c r="L52" s="1" t="s">
        <v>59</v>
      </c>
      <c r="M52" s="178" t="s">
        <v>162</v>
      </c>
    </row>
    <row r="53" spans="1:14" s="1" customFormat="1" ht="15" thickBot="1" x14ac:dyDescent="0.4">
      <c r="A53" s="196"/>
      <c r="B53" s="39" t="s">
        <v>22</v>
      </c>
      <c r="C53" s="48"/>
      <c r="D53" s="13" t="s">
        <v>15</v>
      </c>
      <c r="E53" s="14">
        <v>9.16</v>
      </c>
      <c r="F53" s="13"/>
      <c r="G53" s="19">
        <v>0.75</v>
      </c>
      <c r="H53" s="16">
        <f t="shared" si="6"/>
        <v>0</v>
      </c>
      <c r="I53" s="13">
        <f t="shared" si="8"/>
        <v>0</v>
      </c>
      <c r="J53" s="17">
        <f>C53*E53</f>
        <v>0</v>
      </c>
      <c r="L53" s="1" t="s">
        <v>155</v>
      </c>
      <c r="M53" s="178"/>
    </row>
    <row r="54" spans="1:14" s="1" customFormat="1" ht="15" thickBot="1" x14ac:dyDescent="0.4">
      <c r="A54" s="196"/>
      <c r="B54" s="40" t="s">
        <v>27</v>
      </c>
      <c r="C54" s="50"/>
      <c r="D54" s="20" t="s">
        <v>15</v>
      </c>
      <c r="E54" s="21">
        <v>3.74</v>
      </c>
      <c r="F54" s="20"/>
      <c r="G54" s="22">
        <v>0.75</v>
      </c>
      <c r="H54" s="23">
        <f t="shared" si="6"/>
        <v>0</v>
      </c>
      <c r="I54" s="20">
        <f t="shared" si="8"/>
        <v>0</v>
      </c>
      <c r="J54" s="24">
        <f>C54*E54</f>
        <v>0</v>
      </c>
      <c r="M54" s="172"/>
    </row>
    <row r="55" spans="1:14" s="1" customFormat="1" ht="15.75" customHeight="1" thickBot="1" x14ac:dyDescent="0.4">
      <c r="A55" s="196"/>
      <c r="B55" s="41"/>
      <c r="C55" s="25"/>
      <c r="D55" s="26"/>
      <c r="E55" s="27"/>
      <c r="F55" s="28"/>
      <c r="G55" s="29"/>
      <c r="H55" s="30"/>
      <c r="I55" s="29">
        <f>SUM(I44:I54)</f>
        <v>3.74</v>
      </c>
      <c r="J55" s="31">
        <f>SUM(J42:J54)</f>
        <v>3.7909999999999999</v>
      </c>
      <c r="K55" s="18"/>
      <c r="M55" s="172"/>
    </row>
    <row r="56" spans="1:14" s="1" customFormat="1" x14ac:dyDescent="0.35">
      <c r="A56" s="196"/>
      <c r="B56" s="42" t="s">
        <v>23</v>
      </c>
      <c r="C56" s="45"/>
      <c r="D56" s="32" t="s">
        <v>10</v>
      </c>
      <c r="E56" s="9">
        <v>1.65</v>
      </c>
      <c r="F56" s="197" t="s">
        <v>24</v>
      </c>
      <c r="G56" s="198"/>
      <c r="H56" s="199"/>
      <c r="I56" s="8"/>
      <c r="J56" s="12"/>
      <c r="K56" s="18"/>
      <c r="M56" s="172"/>
    </row>
    <row r="57" spans="1:14" s="1" customFormat="1" x14ac:dyDescent="0.35">
      <c r="A57" s="196"/>
      <c r="B57" s="43" t="s">
        <v>25</v>
      </c>
      <c r="C57" s="46">
        <v>1</v>
      </c>
      <c r="D57" s="33" t="s">
        <v>10</v>
      </c>
      <c r="E57" s="14">
        <v>2.65</v>
      </c>
      <c r="F57" s="200"/>
      <c r="G57" s="201"/>
      <c r="H57" s="202"/>
      <c r="I57" s="34"/>
      <c r="J57" s="35">
        <f>(I55*E57*C57)+(I55*E58*C58)+(I55*E56*C56)</f>
        <v>9.9109999999999996</v>
      </c>
      <c r="K57" s="18"/>
      <c r="M57" s="172"/>
    </row>
    <row r="58" spans="1:14" s="1" customFormat="1" ht="15" thickBot="1" x14ac:dyDescent="0.4">
      <c r="A58" s="196"/>
      <c r="B58" s="44" t="s">
        <v>26</v>
      </c>
      <c r="C58" s="47"/>
      <c r="D58" s="36" t="s">
        <v>10</v>
      </c>
      <c r="E58" s="21">
        <v>3.8</v>
      </c>
      <c r="F58" s="203"/>
      <c r="G58" s="204"/>
      <c r="H58" s="205"/>
      <c r="I58" s="20"/>
      <c r="J58" s="24">
        <f>J57+J55</f>
        <v>13.702</v>
      </c>
      <c r="K58" s="18"/>
      <c r="M58" s="172"/>
    </row>
    <row r="59" spans="1:14" s="97" customFormat="1" x14ac:dyDescent="0.35">
      <c r="A59" s="105"/>
      <c r="B59" s="106"/>
      <c r="C59" s="107"/>
      <c r="D59" s="108"/>
      <c r="E59" s="109"/>
      <c r="F59" s="110"/>
      <c r="G59" s="111"/>
      <c r="H59" s="112"/>
      <c r="I59" s="113"/>
      <c r="J59" s="114"/>
      <c r="K59" s="115"/>
      <c r="M59" s="180"/>
    </row>
    <row r="60" spans="1:14" s="1" customFormat="1" x14ac:dyDescent="0.35">
      <c r="B60" s="194" t="s">
        <v>47</v>
      </c>
      <c r="C60" s="194"/>
      <c r="D60" s="194"/>
      <c r="E60" s="194"/>
      <c r="F60" s="194"/>
      <c r="G60" s="194"/>
      <c r="H60" s="194"/>
      <c r="I60" s="194"/>
      <c r="J60" s="195"/>
      <c r="M60" s="172"/>
    </row>
    <row r="61" spans="1:14" s="1" customFormat="1" ht="40" thickBot="1" x14ac:dyDescent="0.4">
      <c r="A61" s="196" t="s">
        <v>128</v>
      </c>
      <c r="B61" s="37" t="s">
        <v>0</v>
      </c>
      <c r="C61" s="3" t="s">
        <v>1</v>
      </c>
      <c r="D61" s="4" t="s">
        <v>2</v>
      </c>
      <c r="E61" s="5" t="s">
        <v>3</v>
      </c>
      <c r="F61" s="6" t="s">
        <v>4</v>
      </c>
      <c r="G61" s="2" t="s">
        <v>5</v>
      </c>
      <c r="H61" s="2" t="s">
        <v>6</v>
      </c>
      <c r="I61" s="2" t="s">
        <v>7</v>
      </c>
      <c r="J61" s="2" t="s">
        <v>8</v>
      </c>
      <c r="M61" s="172"/>
    </row>
    <row r="62" spans="1:14" s="1" customFormat="1" ht="15" thickBot="1" x14ac:dyDescent="0.4">
      <c r="A62" s="196"/>
      <c r="B62" s="38" t="s">
        <v>9</v>
      </c>
      <c r="C62" s="45"/>
      <c r="D62" s="8" t="s">
        <v>10</v>
      </c>
      <c r="E62" s="9">
        <v>3.56</v>
      </c>
      <c r="F62" s="8">
        <v>0.75</v>
      </c>
      <c r="G62" s="10" t="s">
        <v>11</v>
      </c>
      <c r="H62" s="11">
        <f t="shared" ref="H62:H74" si="9">C62*F62</f>
        <v>0</v>
      </c>
      <c r="I62" s="8">
        <v>0</v>
      </c>
      <c r="J62" s="12">
        <f t="shared" ref="J62:J70" si="10">H62*E62</f>
        <v>0</v>
      </c>
      <c r="M62" s="172"/>
    </row>
    <row r="63" spans="1:14" s="1" customFormat="1" ht="15" thickBot="1" x14ac:dyDescent="0.4">
      <c r="A63" s="196"/>
      <c r="B63" s="39" t="s">
        <v>154</v>
      </c>
      <c r="C63" s="48"/>
      <c r="D63" s="13" t="s">
        <v>10</v>
      </c>
      <c r="E63" s="14">
        <v>5</v>
      </c>
      <c r="F63" s="13">
        <v>0.75</v>
      </c>
      <c r="G63" s="15" t="s">
        <v>11</v>
      </c>
      <c r="H63" s="16">
        <f t="shared" si="9"/>
        <v>0</v>
      </c>
      <c r="I63" s="13">
        <v>0</v>
      </c>
      <c r="J63" s="17">
        <f t="shared" si="10"/>
        <v>0</v>
      </c>
      <c r="L63" s="18" t="s">
        <v>31</v>
      </c>
      <c r="M63" s="173">
        <f>'general info'!C42</f>
        <v>6.6</v>
      </c>
    </row>
    <row r="64" spans="1:14" s="1" customFormat="1" ht="26.5" thickBot="1" x14ac:dyDescent="0.4">
      <c r="A64" s="196"/>
      <c r="B64" s="51" t="s">
        <v>12</v>
      </c>
      <c r="C64" s="52"/>
      <c r="D64" s="53" t="s">
        <v>10</v>
      </c>
      <c r="E64" s="54">
        <v>3.6</v>
      </c>
      <c r="F64" s="53">
        <v>1</v>
      </c>
      <c r="G64" s="55" t="s">
        <v>11</v>
      </c>
      <c r="H64" s="51">
        <f t="shared" si="9"/>
        <v>0</v>
      </c>
      <c r="I64" s="53">
        <v>0</v>
      </c>
      <c r="J64" s="56">
        <f t="shared" si="10"/>
        <v>0</v>
      </c>
      <c r="L64" s="7" t="s">
        <v>32</v>
      </c>
      <c r="M64" s="174">
        <f>M63*10%</f>
        <v>0.66</v>
      </c>
      <c r="N64" s="18"/>
    </row>
    <row r="65" spans="1:14" s="1" customFormat="1" ht="15" thickBot="1" x14ac:dyDescent="0.4">
      <c r="A65" s="196"/>
      <c r="B65" s="39" t="s">
        <v>13</v>
      </c>
      <c r="C65" s="48">
        <v>1</v>
      </c>
      <c r="D65" s="13" t="s">
        <v>10</v>
      </c>
      <c r="E65" s="14">
        <v>3.5</v>
      </c>
      <c r="F65" s="13">
        <v>0.1</v>
      </c>
      <c r="G65" s="15" t="s">
        <v>11</v>
      </c>
      <c r="H65" s="16">
        <f t="shared" si="9"/>
        <v>0.1</v>
      </c>
      <c r="I65" s="13">
        <v>0</v>
      </c>
      <c r="J65" s="17">
        <f t="shared" si="10"/>
        <v>0.35000000000000003</v>
      </c>
      <c r="L65" s="1" t="s">
        <v>33</v>
      </c>
      <c r="M65" s="179">
        <f>(M70*M71*8)/(M63+M64)</f>
        <v>4.4077134986225897</v>
      </c>
    </row>
    <row r="66" spans="1:14" s="1" customFormat="1" ht="15" thickBot="1" x14ac:dyDescent="0.4">
      <c r="A66" s="196"/>
      <c r="B66" s="39" t="s">
        <v>14</v>
      </c>
      <c r="C66" s="49"/>
      <c r="D66" s="13" t="s">
        <v>15</v>
      </c>
      <c r="E66" s="14">
        <v>0.6</v>
      </c>
      <c r="F66" s="13">
        <v>0.03</v>
      </c>
      <c r="G66" s="19">
        <f>(2.2*F66)</f>
        <v>6.6000000000000003E-2</v>
      </c>
      <c r="H66" s="16">
        <f t="shared" si="9"/>
        <v>0</v>
      </c>
      <c r="I66" s="13">
        <f t="shared" ref="I66:I74" si="11">C66*G66</f>
        <v>0</v>
      </c>
      <c r="J66" s="17">
        <f t="shared" si="10"/>
        <v>0</v>
      </c>
      <c r="L66" s="1" t="s">
        <v>34</v>
      </c>
      <c r="M66" s="176">
        <v>22</v>
      </c>
    </row>
    <row r="67" spans="1:14" s="1" customFormat="1" ht="15" thickBot="1" x14ac:dyDescent="0.4">
      <c r="A67" s="196"/>
      <c r="B67" s="39" t="s">
        <v>16</v>
      </c>
      <c r="C67" s="49"/>
      <c r="D67" s="13" t="s">
        <v>15</v>
      </c>
      <c r="E67" s="14">
        <v>2.14</v>
      </c>
      <c r="F67" s="13">
        <v>0.3</v>
      </c>
      <c r="G67" s="19">
        <f>(2.2*F67)</f>
        <v>0.66</v>
      </c>
      <c r="H67" s="16">
        <f t="shared" si="9"/>
        <v>0</v>
      </c>
      <c r="I67" s="13">
        <f t="shared" si="11"/>
        <v>0</v>
      </c>
      <c r="J67" s="17">
        <f t="shared" si="10"/>
        <v>0</v>
      </c>
      <c r="L67" s="1" t="s">
        <v>35</v>
      </c>
      <c r="M67" s="176">
        <f>(M63+M64)*J78</f>
        <v>99.476519999999994</v>
      </c>
    </row>
    <row r="68" spans="1:14" s="1" customFormat="1" ht="15" thickBot="1" x14ac:dyDescent="0.4">
      <c r="A68" s="196"/>
      <c r="B68" s="39" t="s">
        <v>17</v>
      </c>
      <c r="C68" s="49">
        <v>2</v>
      </c>
      <c r="D68" s="13" t="s">
        <v>15</v>
      </c>
      <c r="E68" s="14">
        <v>2.09</v>
      </c>
      <c r="F68" s="13">
        <v>0.45</v>
      </c>
      <c r="G68" s="19">
        <f>(2.2*F68)</f>
        <v>0.9900000000000001</v>
      </c>
      <c r="H68" s="16">
        <f t="shared" si="9"/>
        <v>0.9</v>
      </c>
      <c r="I68" s="13">
        <f t="shared" si="11"/>
        <v>1.9800000000000002</v>
      </c>
      <c r="J68" s="17">
        <f t="shared" si="10"/>
        <v>1.881</v>
      </c>
      <c r="L68" s="1" t="s">
        <v>36</v>
      </c>
      <c r="M68" s="176">
        <f>M65*M63*M66</f>
        <v>640</v>
      </c>
    </row>
    <row r="69" spans="1:14" s="1" customFormat="1" ht="29.5" thickBot="1" x14ac:dyDescent="0.4">
      <c r="A69" s="196"/>
      <c r="B69" s="39" t="s">
        <v>18</v>
      </c>
      <c r="C69" s="49"/>
      <c r="D69" s="13" t="s">
        <v>15</v>
      </c>
      <c r="E69" s="14">
        <v>1.95</v>
      </c>
      <c r="F69" s="13">
        <v>0.6</v>
      </c>
      <c r="G69" s="19">
        <f>(2.2*F69)</f>
        <v>1.32</v>
      </c>
      <c r="H69" s="16">
        <f t="shared" si="9"/>
        <v>0</v>
      </c>
      <c r="I69" s="13">
        <f t="shared" si="11"/>
        <v>0</v>
      </c>
      <c r="J69" s="17">
        <f t="shared" si="10"/>
        <v>0</v>
      </c>
      <c r="L69" s="1" t="s">
        <v>37</v>
      </c>
      <c r="M69" s="176">
        <f>(M68+M67)*1.15</f>
        <v>850.39799799999992</v>
      </c>
      <c r="N69"/>
    </row>
    <row r="70" spans="1:14" s="1" customFormat="1" ht="15" thickBot="1" x14ac:dyDescent="0.4">
      <c r="A70" s="196"/>
      <c r="B70" s="39" t="s">
        <v>19</v>
      </c>
      <c r="C70" s="49">
        <v>1</v>
      </c>
      <c r="D70" s="13" t="s">
        <v>15</v>
      </c>
      <c r="E70" s="14">
        <v>1.95</v>
      </c>
      <c r="F70" s="13">
        <v>0.8</v>
      </c>
      <c r="G70" s="19">
        <f>(2.2*F70)</f>
        <v>1.7600000000000002</v>
      </c>
      <c r="H70" s="16">
        <f t="shared" si="9"/>
        <v>0.8</v>
      </c>
      <c r="I70" s="13">
        <f t="shared" si="11"/>
        <v>1.7600000000000002</v>
      </c>
      <c r="J70" s="17">
        <f t="shared" si="10"/>
        <v>1.56</v>
      </c>
      <c r="L70" s="1" t="s">
        <v>142</v>
      </c>
      <c r="M70" s="177">
        <v>2</v>
      </c>
      <c r="N70"/>
    </row>
    <row r="71" spans="1:14" s="1" customFormat="1" ht="15" thickBot="1" x14ac:dyDescent="0.4">
      <c r="A71" s="196"/>
      <c r="B71" s="39" t="s">
        <v>20</v>
      </c>
      <c r="C71" s="49"/>
      <c r="D71" s="13" t="s">
        <v>15</v>
      </c>
      <c r="E71" s="14">
        <v>6.8</v>
      </c>
      <c r="F71" s="13"/>
      <c r="G71" s="19">
        <v>0.75</v>
      </c>
      <c r="H71" s="16">
        <f t="shared" si="9"/>
        <v>0</v>
      </c>
      <c r="I71" s="13">
        <f t="shared" si="11"/>
        <v>0</v>
      </c>
      <c r="J71" s="17">
        <f>C71*E71</f>
        <v>0</v>
      </c>
      <c r="L71" s="1" t="s">
        <v>143</v>
      </c>
      <c r="M71" s="178">
        <v>2</v>
      </c>
      <c r="N71"/>
    </row>
    <row r="72" spans="1:14" s="1" customFormat="1" ht="15" thickBot="1" x14ac:dyDescent="0.4">
      <c r="A72" s="196"/>
      <c r="B72" s="39" t="s">
        <v>21</v>
      </c>
      <c r="C72" s="49"/>
      <c r="D72" s="13" t="s">
        <v>15</v>
      </c>
      <c r="E72" s="14">
        <v>8.66</v>
      </c>
      <c r="F72" s="13"/>
      <c r="G72" s="19">
        <v>0.75</v>
      </c>
      <c r="H72" s="16">
        <f t="shared" si="9"/>
        <v>0</v>
      </c>
      <c r="I72" s="13">
        <f t="shared" si="11"/>
        <v>0</v>
      </c>
      <c r="J72" s="17">
        <f>C72*E72</f>
        <v>0</v>
      </c>
      <c r="L72" s="1" t="s">
        <v>59</v>
      </c>
      <c r="M72" s="178" t="s">
        <v>162</v>
      </c>
    </row>
    <row r="73" spans="1:14" s="1" customFormat="1" ht="15" thickBot="1" x14ac:dyDescent="0.4">
      <c r="A73" s="196"/>
      <c r="B73" s="39" t="s">
        <v>22</v>
      </c>
      <c r="C73" s="48"/>
      <c r="D73" s="13" t="s">
        <v>15</v>
      </c>
      <c r="E73" s="14">
        <v>9.16</v>
      </c>
      <c r="F73" s="13"/>
      <c r="G73" s="19">
        <v>0.75</v>
      </c>
      <c r="H73" s="16">
        <f t="shared" si="9"/>
        <v>0</v>
      </c>
      <c r="I73" s="13">
        <f t="shared" si="11"/>
        <v>0</v>
      </c>
      <c r="J73" s="17">
        <f>C73*E73</f>
        <v>0</v>
      </c>
      <c r="L73" s="1" t="s">
        <v>155</v>
      </c>
      <c r="M73" s="178"/>
    </row>
    <row r="74" spans="1:14" s="1" customFormat="1" ht="15" thickBot="1" x14ac:dyDescent="0.4">
      <c r="A74" s="196"/>
      <c r="B74" s="40" t="s">
        <v>27</v>
      </c>
      <c r="C74" s="50"/>
      <c r="D74" s="20" t="s">
        <v>15</v>
      </c>
      <c r="E74" s="21">
        <v>3.74</v>
      </c>
      <c r="F74" s="20"/>
      <c r="G74" s="22">
        <v>0.75</v>
      </c>
      <c r="H74" s="23">
        <f t="shared" si="9"/>
        <v>0</v>
      </c>
      <c r="I74" s="20">
        <f t="shared" si="11"/>
        <v>0</v>
      </c>
      <c r="J74" s="24">
        <f>C74*E74</f>
        <v>0</v>
      </c>
      <c r="M74" s="172"/>
    </row>
    <row r="75" spans="1:14" s="1" customFormat="1" ht="15.75" customHeight="1" thickBot="1" x14ac:dyDescent="0.4">
      <c r="A75" s="196"/>
      <c r="B75" s="41"/>
      <c r="C75" s="25"/>
      <c r="D75" s="26"/>
      <c r="E75" s="27"/>
      <c r="F75" s="28"/>
      <c r="G75" s="29"/>
      <c r="H75" s="30"/>
      <c r="I75" s="29">
        <f>SUM(I64:I74)</f>
        <v>3.74</v>
      </c>
      <c r="J75" s="31">
        <f>SUM(J62:J74)</f>
        <v>3.7909999999999999</v>
      </c>
      <c r="K75" s="18"/>
      <c r="M75" s="172"/>
    </row>
    <row r="76" spans="1:14" s="1" customFormat="1" x14ac:dyDescent="0.35">
      <c r="A76" s="196"/>
      <c r="B76" s="42" t="s">
        <v>23</v>
      </c>
      <c r="C76" s="45"/>
      <c r="D76" s="32" t="s">
        <v>10</v>
      </c>
      <c r="E76" s="9">
        <v>1.65</v>
      </c>
      <c r="F76" s="197" t="s">
        <v>24</v>
      </c>
      <c r="G76" s="198"/>
      <c r="H76" s="199"/>
      <c r="I76" s="8"/>
      <c r="J76" s="12"/>
      <c r="K76" s="18"/>
      <c r="M76" s="172"/>
    </row>
    <row r="77" spans="1:14" s="1" customFormat="1" x14ac:dyDescent="0.35">
      <c r="A77" s="196"/>
      <c r="B77" s="43" t="s">
        <v>25</v>
      </c>
      <c r="C77" s="46">
        <v>1</v>
      </c>
      <c r="D77" s="33" t="s">
        <v>10</v>
      </c>
      <c r="E77" s="14">
        <v>2.65</v>
      </c>
      <c r="F77" s="200"/>
      <c r="G77" s="201"/>
      <c r="H77" s="202"/>
      <c r="I77" s="34"/>
      <c r="J77" s="35">
        <f>(I75*E77*C77)+(I75*E78*C78)+(I75*E76*C76)</f>
        <v>9.9109999999999996</v>
      </c>
      <c r="K77" s="18"/>
      <c r="M77" s="172"/>
    </row>
    <row r="78" spans="1:14" s="1" customFormat="1" ht="15" thickBot="1" x14ac:dyDescent="0.4">
      <c r="A78" s="196"/>
      <c r="B78" s="44" t="s">
        <v>26</v>
      </c>
      <c r="C78" s="47"/>
      <c r="D78" s="36" t="s">
        <v>10</v>
      </c>
      <c r="E78" s="21">
        <v>3.8</v>
      </c>
      <c r="F78" s="203"/>
      <c r="G78" s="204"/>
      <c r="H78" s="205"/>
      <c r="I78" s="20"/>
      <c r="J78" s="24">
        <f>J77+J75</f>
        <v>13.702</v>
      </c>
      <c r="K78" s="18"/>
      <c r="M78" s="172"/>
    </row>
    <row r="79" spans="1:14" s="97" customFormat="1" x14ac:dyDescent="0.35">
      <c r="A79" s="105"/>
      <c r="B79" s="106"/>
      <c r="C79" s="107"/>
      <c r="D79" s="108"/>
      <c r="E79" s="109"/>
      <c r="F79" s="110"/>
      <c r="G79" s="111"/>
      <c r="H79" s="112"/>
      <c r="I79" s="113"/>
      <c r="J79" s="114"/>
      <c r="K79" s="115"/>
      <c r="M79" s="180"/>
    </row>
    <row r="80" spans="1:14" s="1" customFormat="1" x14ac:dyDescent="0.35">
      <c r="M80" s="172"/>
    </row>
    <row r="81" spans="13:13" s="1" customFormat="1" x14ac:dyDescent="0.35">
      <c r="M81" s="172"/>
    </row>
    <row r="82" spans="13:13" s="1" customFormat="1" x14ac:dyDescent="0.35">
      <c r="M82" s="172"/>
    </row>
  </sheetData>
  <mergeCells count="11">
    <mergeCell ref="B1:J1"/>
    <mergeCell ref="B60:J60"/>
    <mergeCell ref="A61:A78"/>
    <mergeCell ref="F76:H78"/>
    <mergeCell ref="A41:A58"/>
    <mergeCell ref="F56:H58"/>
    <mergeCell ref="A2:A19"/>
    <mergeCell ref="A22:A39"/>
    <mergeCell ref="F17:H19"/>
    <mergeCell ref="B21:J21"/>
    <mergeCell ref="F37:H39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94BB-1816-49A5-B1A9-30807189351F}">
  <sheetPr codeName="Sheet6"/>
  <dimension ref="A1"/>
  <sheetViews>
    <sheetView tabSelected="1" workbookViewId="0">
      <selection activeCell="I10" sqref="I10"/>
    </sheetView>
  </sheetViews>
  <sheetFormatPr defaultRowHeight="14.5" x14ac:dyDescent="0.35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Button 1">
              <controlPr defaultSize="0" print="0" autoFill="0" autoPict="0" macro="[1]!ThisWorkbook.fileImport">
                <anchor moveWithCells="1" sizeWithCells="1">
                  <from>
                    <xdr:col>6</xdr:col>
                    <xdr:colOff>590550</xdr:colOff>
                    <xdr:row>4</xdr:row>
                    <xdr:rowOff>19050</xdr:rowOff>
                  </from>
                  <to>
                    <xdr:col>9</xdr:col>
                    <xdr:colOff>317500</xdr:colOff>
                    <xdr:row>6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D0AF7-81E4-4E55-9A5C-E51BA45B9DD2}">
  <sheetPr codeName="Sheet7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24EA8-F1E8-436C-A5D2-7637C45D25C4}">
  <sheetPr codeName="Sheet8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9570E-9F3D-43F4-B48C-F159B5F2B9CB}">
  <sheetPr codeName="Sheet9"/>
  <dimension ref="A1"/>
  <sheetViews>
    <sheetView workbookViewId="0">
      <selection activeCell="I17" sqref="I17"/>
    </sheetView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L50"/>
  <sheetViews>
    <sheetView workbookViewId="0">
      <selection activeCell="A13" sqref="A13:AL14"/>
    </sheetView>
  </sheetViews>
  <sheetFormatPr defaultRowHeight="14.5" x14ac:dyDescent="0.35"/>
  <cols>
    <col min="1" max="38" width="2.26953125" customWidth="1"/>
  </cols>
  <sheetData>
    <row r="1" spans="1:38" x14ac:dyDescent="0.35">
      <c r="A1" s="328" t="s">
        <v>48</v>
      </c>
      <c r="B1" s="329"/>
      <c r="C1" s="329"/>
      <c r="D1" s="329"/>
      <c r="E1" s="329"/>
      <c r="F1" s="330"/>
      <c r="G1" s="331" t="s">
        <v>49</v>
      </c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2"/>
      <c r="AD1" s="333"/>
      <c r="AE1" s="340"/>
      <c r="AF1" s="332"/>
      <c r="AG1" s="332"/>
      <c r="AH1" s="332"/>
      <c r="AI1" s="332"/>
      <c r="AJ1" s="332"/>
      <c r="AK1" s="332"/>
      <c r="AL1" s="341"/>
    </row>
    <row r="2" spans="1:38" x14ac:dyDescent="0.35">
      <c r="A2" s="343">
        <f>'general info'!C3</f>
        <v>0</v>
      </c>
      <c r="B2" s="344"/>
      <c r="C2" s="344"/>
      <c r="D2" s="344"/>
      <c r="E2" s="344"/>
      <c r="F2" s="345"/>
      <c r="G2" s="334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  <c r="X2" s="335"/>
      <c r="Y2" s="335"/>
      <c r="Z2" s="335"/>
      <c r="AA2" s="335"/>
      <c r="AB2" s="335"/>
      <c r="AC2" s="335"/>
      <c r="AD2" s="336"/>
      <c r="AE2" s="334"/>
      <c r="AF2" s="335"/>
      <c r="AG2" s="335"/>
      <c r="AH2" s="335"/>
      <c r="AI2" s="335"/>
      <c r="AJ2" s="335"/>
      <c r="AK2" s="335"/>
      <c r="AL2" s="342"/>
    </row>
    <row r="3" spans="1:38" x14ac:dyDescent="0.35">
      <c r="A3" s="346"/>
      <c r="B3" s="347"/>
      <c r="C3" s="347"/>
      <c r="D3" s="347"/>
      <c r="E3" s="347"/>
      <c r="F3" s="348"/>
      <c r="G3" s="337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338"/>
      <c r="W3" s="338"/>
      <c r="X3" s="338"/>
      <c r="Y3" s="338"/>
      <c r="Z3" s="338"/>
      <c r="AA3" s="338"/>
      <c r="AB3" s="338"/>
      <c r="AC3" s="338"/>
      <c r="AD3" s="339"/>
      <c r="AE3" s="334"/>
      <c r="AF3" s="335"/>
      <c r="AG3" s="335"/>
      <c r="AH3" s="335"/>
      <c r="AI3" s="335"/>
      <c r="AJ3" s="335"/>
      <c r="AK3" s="335"/>
      <c r="AL3" s="342"/>
    </row>
    <row r="4" spans="1:38" x14ac:dyDescent="0.35">
      <c r="A4" s="349" t="s">
        <v>50</v>
      </c>
      <c r="B4" s="297"/>
      <c r="C4" s="297"/>
      <c r="D4" s="297"/>
      <c r="E4" s="297"/>
      <c r="F4" s="297"/>
      <c r="G4" s="297"/>
      <c r="H4" s="297"/>
      <c r="I4" s="298"/>
      <c r="J4" s="350" t="s">
        <v>51</v>
      </c>
      <c r="K4" s="350"/>
      <c r="L4" s="350"/>
      <c r="M4" s="350"/>
      <c r="N4" s="350"/>
      <c r="O4" s="350"/>
      <c r="P4" s="350"/>
      <c r="Q4" s="350"/>
      <c r="R4" s="350"/>
      <c r="S4" s="350"/>
      <c r="T4" s="350"/>
      <c r="U4" s="350"/>
      <c r="V4" s="350"/>
      <c r="W4" s="350"/>
      <c r="X4" s="350"/>
      <c r="Y4" s="350"/>
      <c r="Z4" s="350"/>
      <c r="AA4" s="350"/>
      <c r="AB4" s="350"/>
      <c r="AC4" s="350"/>
      <c r="AD4" s="351"/>
      <c r="AE4" s="334"/>
      <c r="AF4" s="335"/>
      <c r="AG4" s="335"/>
      <c r="AH4" s="335"/>
      <c r="AI4" s="335"/>
      <c r="AJ4" s="335"/>
      <c r="AK4" s="335"/>
      <c r="AL4" s="342"/>
    </row>
    <row r="5" spans="1:38" ht="12.75" customHeight="1" x14ac:dyDescent="0.35">
      <c r="A5" s="352" t="s">
        <v>92</v>
      </c>
      <c r="B5" s="353"/>
      <c r="C5" s="353"/>
      <c r="D5" s="353"/>
      <c r="E5" s="353"/>
      <c r="F5" s="353"/>
      <c r="G5" s="353"/>
      <c r="H5" s="353"/>
      <c r="I5" s="354"/>
      <c r="J5" s="358" t="str">
        <f>'general info'!C4</f>
        <v>Special Prefab pool Skimmer</v>
      </c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  <c r="X5" s="358"/>
      <c r="Y5" s="358"/>
      <c r="Z5" s="358"/>
      <c r="AA5" s="358"/>
      <c r="AB5" s="358"/>
      <c r="AC5" s="358"/>
      <c r="AD5" s="359"/>
      <c r="AE5" s="334"/>
      <c r="AF5" s="335"/>
      <c r="AG5" s="335"/>
      <c r="AH5" s="335"/>
      <c r="AI5" s="335"/>
      <c r="AJ5" s="335"/>
      <c r="AK5" s="335"/>
      <c r="AL5" s="342"/>
    </row>
    <row r="6" spans="1:38" ht="12.75" customHeight="1" x14ac:dyDescent="0.35">
      <c r="A6" s="352"/>
      <c r="B6" s="353"/>
      <c r="C6" s="353"/>
      <c r="D6" s="353"/>
      <c r="E6" s="353"/>
      <c r="F6" s="353"/>
      <c r="G6" s="353"/>
      <c r="H6" s="353"/>
      <c r="I6" s="354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  <c r="W6" s="358"/>
      <c r="X6" s="358"/>
      <c r="Y6" s="358"/>
      <c r="Z6" s="358"/>
      <c r="AA6" s="358"/>
      <c r="AB6" s="358"/>
      <c r="AC6" s="358"/>
      <c r="AD6" s="359"/>
      <c r="AE6" s="334"/>
      <c r="AF6" s="335"/>
      <c r="AG6" s="335"/>
      <c r="AH6" s="335"/>
      <c r="AI6" s="335"/>
      <c r="AJ6" s="335"/>
      <c r="AK6" s="335"/>
      <c r="AL6" s="342"/>
    </row>
    <row r="7" spans="1:38" ht="12.75" customHeight="1" x14ac:dyDescent="0.35">
      <c r="A7" s="355"/>
      <c r="B7" s="356"/>
      <c r="C7" s="356"/>
      <c r="D7" s="356"/>
      <c r="E7" s="356"/>
      <c r="F7" s="356"/>
      <c r="G7" s="356"/>
      <c r="H7" s="356"/>
      <c r="I7" s="357"/>
      <c r="J7" s="360"/>
      <c r="K7" s="360"/>
      <c r="L7" s="360"/>
      <c r="M7" s="360"/>
      <c r="N7" s="360"/>
      <c r="O7" s="360"/>
      <c r="P7" s="360"/>
      <c r="Q7" s="360"/>
      <c r="R7" s="360"/>
      <c r="S7" s="360"/>
      <c r="T7" s="360"/>
      <c r="U7" s="360"/>
      <c r="V7" s="360"/>
      <c r="W7" s="360"/>
      <c r="X7" s="360"/>
      <c r="Y7" s="360"/>
      <c r="Z7" s="360"/>
      <c r="AA7" s="360"/>
      <c r="AB7" s="360"/>
      <c r="AC7" s="360"/>
      <c r="AD7" s="361"/>
      <c r="AE7" s="334"/>
      <c r="AF7" s="335"/>
      <c r="AG7" s="335"/>
      <c r="AH7" s="335"/>
      <c r="AI7" s="335"/>
      <c r="AJ7" s="335"/>
      <c r="AK7" s="335"/>
      <c r="AL7" s="342"/>
    </row>
    <row r="8" spans="1:38" x14ac:dyDescent="0.35">
      <c r="A8" s="296" t="s">
        <v>52</v>
      </c>
      <c r="B8" s="297"/>
      <c r="C8" s="297"/>
      <c r="D8" s="297"/>
      <c r="E8" s="297"/>
      <c r="F8" s="298"/>
      <c r="G8" s="299" t="s">
        <v>53</v>
      </c>
      <c r="H8" s="297"/>
      <c r="I8" s="297"/>
      <c r="J8" s="297"/>
      <c r="K8" s="297"/>
      <c r="L8" s="298"/>
      <c r="M8" s="300" t="s">
        <v>54</v>
      </c>
      <c r="N8" s="301"/>
      <c r="O8" s="301"/>
      <c r="P8" s="301"/>
      <c r="Q8" s="301"/>
      <c r="R8" s="301"/>
      <c r="S8" s="301"/>
      <c r="T8" s="302"/>
      <c r="U8" s="299" t="s">
        <v>55</v>
      </c>
      <c r="V8" s="297"/>
      <c r="W8" s="297"/>
      <c r="X8" s="297"/>
      <c r="Y8" s="297"/>
      <c r="Z8" s="297"/>
      <c r="AA8" s="297"/>
      <c r="AB8" s="297"/>
      <c r="AC8" s="297"/>
      <c r="AD8" s="297"/>
      <c r="AE8" s="297"/>
      <c r="AF8" s="297"/>
      <c r="AG8" s="297"/>
      <c r="AH8" s="297"/>
      <c r="AI8" s="297"/>
      <c r="AJ8" s="297"/>
      <c r="AK8" s="297"/>
      <c r="AL8" s="303"/>
    </row>
    <row r="9" spans="1:38" x14ac:dyDescent="0.35">
      <c r="A9" s="304"/>
      <c r="B9" s="304"/>
      <c r="C9" s="304"/>
      <c r="D9" s="304"/>
      <c r="E9" s="304"/>
      <c r="F9" s="305"/>
      <c r="G9" s="308"/>
      <c r="H9" s="309"/>
      <c r="I9" s="309"/>
      <c r="J9" s="309"/>
      <c r="K9" s="309"/>
      <c r="L9" s="310"/>
      <c r="M9" s="314" t="s">
        <v>56</v>
      </c>
      <c r="N9" s="314"/>
      <c r="O9" s="314"/>
      <c r="P9" s="315"/>
      <c r="Q9" s="318" t="s">
        <v>57</v>
      </c>
      <c r="R9" s="318"/>
      <c r="S9" s="318"/>
      <c r="T9" s="319"/>
      <c r="U9" s="322"/>
      <c r="V9" s="323"/>
      <c r="W9" s="323"/>
      <c r="X9" s="323"/>
      <c r="Y9" s="323"/>
      <c r="Z9" s="323"/>
      <c r="AA9" s="323"/>
      <c r="AB9" s="323"/>
      <c r="AC9" s="323"/>
      <c r="AD9" s="323"/>
      <c r="AE9" s="323"/>
      <c r="AF9" s="323"/>
      <c r="AG9" s="323"/>
      <c r="AH9" s="323"/>
      <c r="AI9" s="323"/>
      <c r="AJ9" s="323"/>
      <c r="AK9" s="323"/>
      <c r="AL9" s="324"/>
    </row>
    <row r="10" spans="1:38" ht="15" thickBot="1" x14ac:dyDescent="0.4">
      <c r="A10" s="306"/>
      <c r="B10" s="306"/>
      <c r="C10" s="306"/>
      <c r="D10" s="306"/>
      <c r="E10" s="306"/>
      <c r="F10" s="307"/>
      <c r="G10" s="311"/>
      <c r="H10" s="312"/>
      <c r="I10" s="312"/>
      <c r="J10" s="312"/>
      <c r="K10" s="312"/>
      <c r="L10" s="313"/>
      <c r="M10" s="316"/>
      <c r="N10" s="316"/>
      <c r="O10" s="316"/>
      <c r="P10" s="317"/>
      <c r="Q10" s="320"/>
      <c r="R10" s="320"/>
      <c r="S10" s="320"/>
      <c r="T10" s="321"/>
      <c r="U10" s="325"/>
      <c r="V10" s="326"/>
      <c r="W10" s="326"/>
      <c r="X10" s="326"/>
      <c r="Y10" s="326"/>
      <c r="Z10" s="326"/>
      <c r="AA10" s="326"/>
      <c r="AB10" s="326"/>
      <c r="AC10" s="326"/>
      <c r="AD10" s="326"/>
      <c r="AE10" s="326"/>
      <c r="AF10" s="326"/>
      <c r="AG10" s="326"/>
      <c r="AH10" s="326"/>
      <c r="AI10" s="326"/>
      <c r="AJ10" s="326"/>
      <c r="AK10" s="326"/>
      <c r="AL10" s="327"/>
    </row>
    <row r="11" spans="1:38" ht="12.75" customHeight="1" x14ac:dyDescent="0.35">
      <c r="A11" s="272" t="s">
        <v>45</v>
      </c>
      <c r="B11" s="273"/>
      <c r="C11" s="273"/>
      <c r="D11" s="273"/>
      <c r="E11" s="273"/>
      <c r="F11" s="273"/>
      <c r="G11" s="273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4"/>
    </row>
    <row r="12" spans="1:38" x14ac:dyDescent="0.35">
      <c r="A12" s="275"/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276"/>
      <c r="Q12" s="276"/>
      <c r="R12" s="276"/>
      <c r="S12" s="276"/>
      <c r="T12" s="276"/>
      <c r="U12" s="276"/>
      <c r="V12" s="276"/>
      <c r="W12" s="276"/>
      <c r="X12" s="276"/>
      <c r="Y12" s="276"/>
      <c r="Z12" s="276"/>
      <c r="AA12" s="276"/>
      <c r="AB12" s="276"/>
      <c r="AC12" s="276"/>
      <c r="AD12" s="276"/>
      <c r="AE12" s="276"/>
      <c r="AF12" s="276"/>
      <c r="AG12" s="276"/>
      <c r="AH12" s="276"/>
      <c r="AI12" s="276"/>
      <c r="AJ12" s="276"/>
      <c r="AK12" s="276"/>
      <c r="AL12" s="277"/>
    </row>
    <row r="13" spans="1:38" x14ac:dyDescent="0.35">
      <c r="A13" s="287">
        <f>'general info'!C8</f>
        <v>0</v>
      </c>
      <c r="B13" s="288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288"/>
      <c r="X13" s="288"/>
      <c r="Y13" s="288"/>
      <c r="Z13" s="288"/>
      <c r="AA13" s="288"/>
      <c r="AB13" s="288"/>
      <c r="AC13" s="288"/>
      <c r="AD13" s="288"/>
      <c r="AE13" s="288"/>
      <c r="AF13" s="288"/>
      <c r="AG13" s="288"/>
      <c r="AH13" s="288"/>
      <c r="AI13" s="288"/>
      <c r="AJ13" s="288"/>
      <c r="AK13" s="288"/>
      <c r="AL13" s="289"/>
    </row>
    <row r="14" spans="1:38" x14ac:dyDescent="0.35">
      <c r="A14" s="290"/>
      <c r="B14" s="291"/>
      <c r="C14" s="291"/>
      <c r="D14" s="291"/>
      <c r="E14" s="291"/>
      <c r="F14" s="291"/>
      <c r="G14" s="291"/>
      <c r="H14" s="291"/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1"/>
      <c r="T14" s="291"/>
      <c r="U14" s="291"/>
      <c r="V14" s="291"/>
      <c r="W14" s="291"/>
      <c r="X14" s="291"/>
      <c r="Y14" s="291"/>
      <c r="Z14" s="291"/>
      <c r="AA14" s="291"/>
      <c r="AB14" s="291"/>
      <c r="AC14" s="291"/>
      <c r="AD14" s="291"/>
      <c r="AE14" s="291"/>
      <c r="AF14" s="291"/>
      <c r="AG14" s="291"/>
      <c r="AH14" s="291"/>
      <c r="AI14" s="291"/>
      <c r="AJ14" s="291"/>
      <c r="AK14" s="291"/>
      <c r="AL14" s="292"/>
    </row>
    <row r="15" spans="1:38" x14ac:dyDescent="0.35">
      <c r="A15" s="290" t="str">
        <f>'general info'!C9</f>
        <v xml:space="preserve">1) Depth - starting 130cm left to 155cm right
2) colour white
3) The pool will be installed on a concrete platform ground floor level (below FFL) 
4) steps and sitting area
5) situated in Zebbug Gozo.
6) we would like skimmer system so as to reduce size of pool.
</v>
      </c>
      <c r="B15" s="291"/>
      <c r="C15" s="291"/>
      <c r="D15" s="291"/>
      <c r="E15" s="291"/>
      <c r="F15" s="291"/>
      <c r="G15" s="291"/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1"/>
      <c r="T15" s="291"/>
      <c r="U15" s="291"/>
      <c r="V15" s="291"/>
      <c r="W15" s="291"/>
      <c r="X15" s="291"/>
      <c r="Y15" s="291"/>
      <c r="Z15" s="291"/>
      <c r="AA15" s="291"/>
      <c r="AB15" s="291"/>
      <c r="AC15" s="291"/>
      <c r="AD15" s="291"/>
      <c r="AE15" s="291"/>
      <c r="AF15" s="291"/>
      <c r="AG15" s="291"/>
      <c r="AH15" s="291"/>
      <c r="AI15" s="291"/>
      <c r="AJ15" s="291"/>
      <c r="AK15" s="291"/>
      <c r="AL15" s="292"/>
    </row>
    <row r="16" spans="1:38" x14ac:dyDescent="0.35">
      <c r="A16" s="290"/>
      <c r="B16" s="291"/>
      <c r="C16" s="291"/>
      <c r="D16" s="291"/>
      <c r="E16" s="291"/>
      <c r="F16" s="291"/>
      <c r="G16" s="291"/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1"/>
      <c r="T16" s="291"/>
      <c r="U16" s="291"/>
      <c r="V16" s="291"/>
      <c r="W16" s="291"/>
      <c r="X16" s="291"/>
      <c r="Y16" s="291"/>
      <c r="Z16" s="291"/>
      <c r="AA16" s="291"/>
      <c r="AB16" s="291"/>
      <c r="AC16" s="291"/>
      <c r="AD16" s="291"/>
      <c r="AE16" s="291"/>
      <c r="AF16" s="291"/>
      <c r="AG16" s="291"/>
      <c r="AH16" s="291"/>
      <c r="AI16" s="291"/>
      <c r="AJ16" s="291"/>
      <c r="AK16" s="291"/>
      <c r="AL16" s="292"/>
    </row>
    <row r="17" spans="1:38" x14ac:dyDescent="0.35">
      <c r="A17" s="290"/>
      <c r="B17" s="291"/>
      <c r="C17" s="291"/>
      <c r="D17" s="291"/>
      <c r="E17" s="291"/>
      <c r="F17" s="291"/>
      <c r="G17" s="291"/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1"/>
      <c r="T17" s="291"/>
      <c r="U17" s="291"/>
      <c r="V17" s="291"/>
      <c r="W17" s="291"/>
      <c r="X17" s="291"/>
      <c r="Y17" s="291"/>
      <c r="Z17" s="291"/>
      <c r="AA17" s="291"/>
      <c r="AB17" s="291"/>
      <c r="AC17" s="291"/>
      <c r="AD17" s="291"/>
      <c r="AE17" s="291"/>
      <c r="AF17" s="291"/>
      <c r="AG17" s="291"/>
      <c r="AH17" s="291"/>
      <c r="AI17" s="291"/>
      <c r="AJ17" s="291"/>
      <c r="AK17" s="291"/>
      <c r="AL17" s="292"/>
    </row>
    <row r="18" spans="1:38" ht="15" thickBot="1" x14ac:dyDescent="0.4">
      <c r="A18" s="293"/>
      <c r="B18" s="294"/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5"/>
    </row>
    <row r="19" spans="1:38" ht="18.5" x14ac:dyDescent="0.45">
      <c r="A19" s="278" t="s">
        <v>58</v>
      </c>
      <c r="B19" s="279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80"/>
      <c r="Q19" s="281" t="s">
        <v>59</v>
      </c>
      <c r="R19" s="279"/>
      <c r="S19" s="279"/>
      <c r="T19" s="279"/>
      <c r="U19" s="279"/>
      <c r="V19" s="279"/>
      <c r="W19" s="279"/>
      <c r="X19" s="279"/>
      <c r="Y19" s="279"/>
      <c r="Z19" s="282"/>
      <c r="AA19" s="283" t="s">
        <v>60</v>
      </c>
      <c r="AB19" s="284"/>
      <c r="AC19" s="284"/>
      <c r="AD19" s="285"/>
      <c r="AE19" s="283" t="s">
        <v>159</v>
      </c>
      <c r="AF19" s="284"/>
      <c r="AG19" s="284"/>
      <c r="AH19" s="285"/>
      <c r="AI19" s="283" t="s">
        <v>160</v>
      </c>
      <c r="AJ19" s="284"/>
      <c r="AK19" s="284"/>
      <c r="AL19" s="286"/>
    </row>
    <row r="20" spans="1:38" x14ac:dyDescent="0.35">
      <c r="A20" s="241" t="s">
        <v>156</v>
      </c>
      <c r="B20" s="242"/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3"/>
      <c r="Q20" s="247" t="str">
        <f>'PARTS CALCULATIONS'!M13</f>
        <v>GC/300/450/450/800/450/HC20/450</v>
      </c>
      <c r="R20" s="242"/>
      <c r="S20" s="242"/>
      <c r="T20" s="242"/>
      <c r="U20" s="242"/>
      <c r="V20" s="242"/>
      <c r="W20" s="242"/>
      <c r="X20" s="242"/>
      <c r="Y20" s="242"/>
      <c r="Z20" s="248"/>
      <c r="AA20" s="251">
        <f>'PARTS CALCULATIONS'!M4*0.7</f>
        <v>62.999999999999993</v>
      </c>
      <c r="AB20" s="252"/>
      <c r="AC20" s="252"/>
      <c r="AD20" s="253"/>
      <c r="AE20" s="251">
        <f>'PARTS CALCULATIONS'!M11</f>
        <v>2</v>
      </c>
      <c r="AF20" s="252"/>
      <c r="AG20" s="252"/>
      <c r="AH20" s="253"/>
      <c r="AI20" s="251">
        <f>'PARTS CALCULATIONS'!M12</f>
        <v>20</v>
      </c>
      <c r="AJ20" s="252"/>
      <c r="AK20" s="252"/>
      <c r="AL20" s="257"/>
    </row>
    <row r="21" spans="1:38" x14ac:dyDescent="0.35">
      <c r="A21" s="259"/>
      <c r="B21" s="260"/>
      <c r="C21" s="260"/>
      <c r="D21" s="260"/>
      <c r="E21" s="260"/>
      <c r="F21" s="260"/>
      <c r="G21" s="260"/>
      <c r="H21" s="260"/>
      <c r="I21" s="260"/>
      <c r="J21" s="260"/>
      <c r="K21" s="260"/>
      <c r="L21" s="260"/>
      <c r="M21" s="260"/>
      <c r="N21" s="260"/>
      <c r="O21" s="260"/>
      <c r="P21" s="261"/>
      <c r="Q21" s="249"/>
      <c r="R21" s="245"/>
      <c r="S21" s="245"/>
      <c r="T21" s="245"/>
      <c r="U21" s="245"/>
      <c r="V21" s="245"/>
      <c r="W21" s="245"/>
      <c r="X21" s="245"/>
      <c r="Y21" s="245"/>
      <c r="Z21" s="250"/>
      <c r="AA21" s="254"/>
      <c r="AB21" s="255"/>
      <c r="AC21" s="255"/>
      <c r="AD21" s="256"/>
      <c r="AE21" s="254"/>
      <c r="AF21" s="255"/>
      <c r="AG21" s="255"/>
      <c r="AH21" s="256"/>
      <c r="AI21" s="254"/>
      <c r="AJ21" s="255"/>
      <c r="AK21" s="255"/>
      <c r="AL21" s="258"/>
    </row>
    <row r="22" spans="1:38" ht="15" customHeight="1" x14ac:dyDescent="0.35">
      <c r="A22" s="270" t="s">
        <v>163</v>
      </c>
      <c r="B22" s="270"/>
      <c r="C22" s="270"/>
      <c r="D22" s="270"/>
      <c r="E22" s="270"/>
      <c r="F22" s="270"/>
      <c r="G22" s="270" t="s">
        <v>164</v>
      </c>
      <c r="H22" s="270"/>
      <c r="I22" s="270"/>
      <c r="J22" s="270"/>
      <c r="K22" s="270"/>
      <c r="L22" s="270"/>
      <c r="M22" s="270">
        <f>'general info'!C31</f>
        <v>0.5</v>
      </c>
      <c r="N22" s="270"/>
      <c r="O22" s="270"/>
      <c r="P22" s="270"/>
      <c r="Q22" s="247" t="str">
        <f>'PARTS CALCULATIONS'!M33</f>
        <v>GC/300/450/800/450</v>
      </c>
      <c r="R22" s="242"/>
      <c r="S22" s="242"/>
      <c r="T22" s="242"/>
      <c r="U22" s="242"/>
      <c r="V22" s="242"/>
      <c r="W22" s="242"/>
      <c r="X22" s="242"/>
      <c r="Y22" s="242"/>
      <c r="Z22" s="248"/>
      <c r="AA22" s="262">
        <f>'PARTS CALCULATIONS'!M24*0.7</f>
        <v>28.979999999999997</v>
      </c>
      <c r="AB22" s="263"/>
      <c r="AC22" s="263"/>
      <c r="AD22" s="264"/>
      <c r="AE22" s="262">
        <f>'PARTS CALCULATIONS'!M31</f>
        <v>1</v>
      </c>
      <c r="AF22" s="263"/>
      <c r="AG22" s="263"/>
      <c r="AH22" s="264"/>
      <c r="AI22" s="262">
        <f>'PARTS CALCULATIONS'!M32</f>
        <v>4</v>
      </c>
      <c r="AJ22" s="263"/>
      <c r="AK22" s="263"/>
      <c r="AL22" s="268"/>
    </row>
    <row r="23" spans="1:38" ht="16.5" customHeight="1" x14ac:dyDescent="0.35">
      <c r="A23" s="270"/>
      <c r="B23" s="270"/>
      <c r="C23" s="270"/>
      <c r="D23" s="270"/>
      <c r="E23" s="270"/>
      <c r="F23" s="270"/>
      <c r="G23" s="270" t="s">
        <v>165</v>
      </c>
      <c r="H23" s="270"/>
      <c r="I23" s="270"/>
      <c r="J23" s="270"/>
      <c r="K23" s="270"/>
      <c r="L23" s="270"/>
      <c r="M23" s="271">
        <f>'general info'!C32</f>
        <v>48</v>
      </c>
      <c r="N23" s="271"/>
      <c r="O23" s="271"/>
      <c r="P23" s="271"/>
      <c r="Q23" s="249"/>
      <c r="R23" s="245"/>
      <c r="S23" s="245"/>
      <c r="T23" s="245"/>
      <c r="U23" s="245"/>
      <c r="V23" s="245"/>
      <c r="W23" s="245"/>
      <c r="X23" s="245"/>
      <c r="Y23" s="245"/>
      <c r="Z23" s="250"/>
      <c r="AA23" s="265"/>
      <c r="AB23" s="266"/>
      <c r="AC23" s="266"/>
      <c r="AD23" s="267"/>
      <c r="AE23" s="265"/>
      <c r="AF23" s="266"/>
      <c r="AG23" s="266"/>
      <c r="AH23" s="267"/>
      <c r="AI23" s="265"/>
      <c r="AJ23" s="266"/>
      <c r="AK23" s="266"/>
      <c r="AL23" s="269"/>
    </row>
    <row r="24" spans="1:38" x14ac:dyDescent="0.35">
      <c r="A24" s="259" t="s">
        <v>157</v>
      </c>
      <c r="B24" s="260"/>
      <c r="C24" s="260"/>
      <c r="D24" s="260"/>
      <c r="E24" s="260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61"/>
      <c r="Q24" s="247" t="str">
        <f>'PARTS CALCULATIONS'!M52</f>
        <v>GC/300/450/800/450</v>
      </c>
      <c r="R24" s="242"/>
      <c r="S24" s="242"/>
      <c r="T24" s="242"/>
      <c r="U24" s="242"/>
      <c r="V24" s="242"/>
      <c r="W24" s="242"/>
      <c r="X24" s="242"/>
      <c r="Y24" s="242"/>
      <c r="Z24" s="248"/>
      <c r="AA24" s="251" t="s">
        <v>166</v>
      </c>
      <c r="AB24" s="252"/>
      <c r="AC24" s="252"/>
      <c r="AD24" s="253"/>
      <c r="AE24" s="251">
        <f>'PARTS CALCULATIONS'!M50</f>
        <v>1</v>
      </c>
      <c r="AF24" s="252"/>
      <c r="AG24" s="252"/>
      <c r="AH24" s="253"/>
      <c r="AI24" s="251">
        <f>'PARTS CALCULATIONS'!M51</f>
        <v>4</v>
      </c>
      <c r="AJ24" s="252"/>
      <c r="AK24" s="252"/>
      <c r="AL24" s="257"/>
    </row>
    <row r="25" spans="1:38" x14ac:dyDescent="0.35">
      <c r="A25" s="244"/>
      <c r="B25" s="245"/>
      <c r="C25" s="245"/>
      <c r="D25" s="245"/>
      <c r="E25" s="245"/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6"/>
      <c r="Q25" s="249"/>
      <c r="R25" s="245"/>
      <c r="S25" s="245"/>
      <c r="T25" s="245"/>
      <c r="U25" s="245"/>
      <c r="V25" s="245"/>
      <c r="W25" s="245"/>
      <c r="X25" s="245"/>
      <c r="Y25" s="245"/>
      <c r="Z25" s="250"/>
      <c r="AA25" s="254"/>
      <c r="AB25" s="255"/>
      <c r="AC25" s="255"/>
      <c r="AD25" s="256"/>
      <c r="AE25" s="254"/>
      <c r="AF25" s="255"/>
      <c r="AG25" s="255"/>
      <c r="AH25" s="256"/>
      <c r="AI25" s="254"/>
      <c r="AJ25" s="255"/>
      <c r="AK25" s="255"/>
      <c r="AL25" s="258"/>
    </row>
    <row r="26" spans="1:38" x14ac:dyDescent="0.35">
      <c r="A26" s="241" t="s">
        <v>158</v>
      </c>
      <c r="B26" s="242"/>
      <c r="C26" s="242"/>
      <c r="D26" s="242"/>
      <c r="E26" s="242"/>
      <c r="F26" s="242"/>
      <c r="G26" s="242"/>
      <c r="H26" s="242"/>
      <c r="I26" s="242"/>
      <c r="J26" s="242"/>
      <c r="K26" s="242"/>
      <c r="L26" s="242"/>
      <c r="M26" s="242"/>
      <c r="N26" s="242"/>
      <c r="O26" s="242"/>
      <c r="P26" s="243"/>
      <c r="Q26" s="247" t="str">
        <f>'PARTS CALCULATIONS'!M72</f>
        <v>GC/300/450/800/450</v>
      </c>
      <c r="R26" s="242"/>
      <c r="S26" s="242"/>
      <c r="T26" s="242"/>
      <c r="U26" s="242"/>
      <c r="V26" s="242"/>
      <c r="W26" s="242"/>
      <c r="X26" s="242"/>
      <c r="Y26" s="242"/>
      <c r="Z26" s="248"/>
      <c r="AA26" s="262" t="s">
        <v>166</v>
      </c>
      <c r="AB26" s="263"/>
      <c r="AC26" s="263"/>
      <c r="AD26" s="264"/>
      <c r="AE26" s="262">
        <f>'PARTS CALCULATIONS'!M70</f>
        <v>2</v>
      </c>
      <c r="AF26" s="263"/>
      <c r="AG26" s="263"/>
      <c r="AH26" s="264"/>
      <c r="AI26" s="262">
        <f>'PARTS CALCULATIONS'!M71</f>
        <v>2</v>
      </c>
      <c r="AJ26" s="263"/>
      <c r="AK26" s="263"/>
      <c r="AL26" s="268"/>
    </row>
    <row r="27" spans="1:38" x14ac:dyDescent="0.35">
      <c r="A27" s="244"/>
      <c r="B27" s="245"/>
      <c r="C27" s="245"/>
      <c r="D27" s="245"/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45"/>
      <c r="P27" s="246"/>
      <c r="Q27" s="249"/>
      <c r="R27" s="245"/>
      <c r="S27" s="245"/>
      <c r="T27" s="245"/>
      <c r="U27" s="245"/>
      <c r="V27" s="245"/>
      <c r="W27" s="245"/>
      <c r="X27" s="245"/>
      <c r="Y27" s="245"/>
      <c r="Z27" s="250"/>
      <c r="AA27" s="265"/>
      <c r="AB27" s="266"/>
      <c r="AC27" s="266"/>
      <c r="AD27" s="267"/>
      <c r="AE27" s="265"/>
      <c r="AF27" s="266"/>
      <c r="AG27" s="266"/>
      <c r="AH27" s="267"/>
      <c r="AI27" s="265"/>
      <c r="AJ27" s="266"/>
      <c r="AK27" s="266"/>
      <c r="AL27" s="269"/>
    </row>
    <row r="28" spans="1:38" x14ac:dyDescent="0.35">
      <c r="A28" s="241" t="s">
        <v>167</v>
      </c>
      <c r="B28" s="242"/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3"/>
      <c r="Q28" s="247">
        <f>'general info'!C39</f>
        <v>22</v>
      </c>
      <c r="R28" s="242"/>
      <c r="S28" s="242"/>
      <c r="T28" s="242"/>
      <c r="U28" s="242"/>
      <c r="V28" s="242"/>
      <c r="W28" s="242"/>
      <c r="X28" s="242"/>
      <c r="Y28" s="242"/>
      <c r="Z28" s="248"/>
      <c r="AA28" s="251" t="s">
        <v>166</v>
      </c>
      <c r="AB28" s="252"/>
      <c r="AC28" s="252"/>
      <c r="AD28" s="253"/>
      <c r="AE28" s="251" t="s">
        <v>166</v>
      </c>
      <c r="AF28" s="252"/>
      <c r="AG28" s="252"/>
      <c r="AH28" s="253"/>
      <c r="AI28" s="251" t="s">
        <v>166</v>
      </c>
      <c r="AJ28" s="252"/>
      <c r="AK28" s="252"/>
      <c r="AL28" s="257"/>
    </row>
    <row r="29" spans="1:38" x14ac:dyDescent="0.35">
      <c r="A29" s="244"/>
      <c r="B29" s="245"/>
      <c r="C29" s="245"/>
      <c r="D29" s="245"/>
      <c r="E29" s="245"/>
      <c r="F29" s="245"/>
      <c r="G29" s="245"/>
      <c r="H29" s="245"/>
      <c r="I29" s="245"/>
      <c r="J29" s="245"/>
      <c r="K29" s="245"/>
      <c r="L29" s="245"/>
      <c r="M29" s="245"/>
      <c r="N29" s="245"/>
      <c r="O29" s="245"/>
      <c r="P29" s="246"/>
      <c r="Q29" s="249"/>
      <c r="R29" s="245"/>
      <c r="S29" s="245"/>
      <c r="T29" s="245"/>
      <c r="U29" s="245"/>
      <c r="V29" s="245"/>
      <c r="W29" s="245"/>
      <c r="X29" s="245"/>
      <c r="Y29" s="245"/>
      <c r="Z29" s="250"/>
      <c r="AA29" s="254"/>
      <c r="AB29" s="255"/>
      <c r="AC29" s="255"/>
      <c r="AD29" s="256"/>
      <c r="AE29" s="254"/>
      <c r="AF29" s="255"/>
      <c r="AG29" s="255"/>
      <c r="AH29" s="256"/>
      <c r="AI29" s="254"/>
      <c r="AJ29" s="255"/>
      <c r="AK29" s="255"/>
      <c r="AL29" s="258"/>
    </row>
    <row r="30" spans="1:38" x14ac:dyDescent="0.35">
      <c r="A30" s="215" t="str">
        <f>[2]Sheet6!B42</f>
        <v xml:space="preserve"> </v>
      </c>
      <c r="B30" s="216"/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7"/>
      <c r="Q30" s="221" t="str">
        <f>[2]Sheet6!E42</f>
        <v xml:space="preserve"> </v>
      </c>
      <c r="R30" s="216"/>
      <c r="S30" s="216"/>
      <c r="T30" s="216"/>
      <c r="U30" s="216"/>
      <c r="V30" s="216"/>
      <c r="W30" s="216"/>
      <c r="X30" s="216"/>
      <c r="Y30" s="216"/>
      <c r="Z30" s="222"/>
      <c r="AA30" s="233">
        <f>([2]Sheet6!B3*[2]Sheet6!E3*[2]Sheet6!B30)+([2]Sheet6!B4*[2]Sheet6!E4*[2]Sheet6!B30)</f>
        <v>0</v>
      </c>
      <c r="AB30" s="234"/>
      <c r="AC30" s="234"/>
      <c r="AD30" s="235"/>
      <c r="AE30" s="233" t="str">
        <f>[2]Sheet6!J42</f>
        <v xml:space="preserve"> </v>
      </c>
      <c r="AF30" s="234"/>
      <c r="AG30" s="234"/>
      <c r="AH30" s="235"/>
      <c r="AI30" s="233">
        <f>[2]Sheet6!H24*[2]Sheet6!B30</f>
        <v>0</v>
      </c>
      <c r="AJ30" s="234"/>
      <c r="AK30" s="234"/>
      <c r="AL30" s="236"/>
    </row>
    <row r="31" spans="1:38" x14ac:dyDescent="0.35">
      <c r="A31" s="218"/>
      <c r="B31" s="219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20"/>
      <c r="Q31" s="223"/>
      <c r="R31" s="219"/>
      <c r="S31" s="219"/>
      <c r="T31" s="219"/>
      <c r="U31" s="219"/>
      <c r="V31" s="219"/>
      <c r="W31" s="219"/>
      <c r="X31" s="219"/>
      <c r="Y31" s="219"/>
      <c r="Z31" s="224"/>
      <c r="AA31" s="237"/>
      <c r="AB31" s="238"/>
      <c r="AC31" s="238"/>
      <c r="AD31" s="239"/>
      <c r="AE31" s="237"/>
      <c r="AF31" s="238"/>
      <c r="AG31" s="238"/>
      <c r="AH31" s="239"/>
      <c r="AI31" s="237"/>
      <c r="AJ31" s="238"/>
      <c r="AK31" s="238"/>
      <c r="AL31" s="240"/>
    </row>
    <row r="32" spans="1:38" x14ac:dyDescent="0.35">
      <c r="A32" s="215" t="str">
        <f>[2]Sheet7!B42</f>
        <v xml:space="preserve"> </v>
      </c>
      <c r="B32" s="216"/>
      <c r="C32" s="216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7"/>
      <c r="Q32" s="221" t="str">
        <f>[2]Sheet7!E42</f>
        <v xml:space="preserve"> </v>
      </c>
      <c r="R32" s="216"/>
      <c r="S32" s="216"/>
      <c r="T32" s="216"/>
      <c r="U32" s="216"/>
      <c r="V32" s="216"/>
      <c r="W32" s="216"/>
      <c r="X32" s="216"/>
      <c r="Y32" s="216"/>
      <c r="Z32" s="222"/>
      <c r="AA32" s="225">
        <f>([2]Sheet7!B3*[2]Sheet7!E3*[2]Sheet7!B30)+([2]Sheet7!B4*[2]Sheet7!E4*[2]Sheet7!B30)</f>
        <v>0</v>
      </c>
      <c r="AB32" s="226"/>
      <c r="AC32" s="226"/>
      <c r="AD32" s="227"/>
      <c r="AE32" s="225" t="str">
        <f>[2]Sheet7!J42</f>
        <v xml:space="preserve"> </v>
      </c>
      <c r="AF32" s="226"/>
      <c r="AG32" s="226"/>
      <c r="AH32" s="227"/>
      <c r="AI32" s="225">
        <f>[2]Sheet7!H24*[2]Sheet7!B30</f>
        <v>0</v>
      </c>
      <c r="AJ32" s="226"/>
      <c r="AK32" s="226"/>
      <c r="AL32" s="231"/>
    </row>
    <row r="33" spans="1:38" x14ac:dyDescent="0.35">
      <c r="A33" s="218"/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20"/>
      <c r="Q33" s="223"/>
      <c r="R33" s="219"/>
      <c r="S33" s="219"/>
      <c r="T33" s="219"/>
      <c r="U33" s="219"/>
      <c r="V33" s="219"/>
      <c r="W33" s="219"/>
      <c r="X33" s="219"/>
      <c r="Y33" s="219"/>
      <c r="Z33" s="224"/>
      <c r="AA33" s="228"/>
      <c r="AB33" s="229"/>
      <c r="AC33" s="229"/>
      <c r="AD33" s="230"/>
      <c r="AE33" s="228"/>
      <c r="AF33" s="229"/>
      <c r="AG33" s="229"/>
      <c r="AH33" s="230"/>
      <c r="AI33" s="228"/>
      <c r="AJ33" s="229"/>
      <c r="AK33" s="229"/>
      <c r="AL33" s="232"/>
    </row>
    <row r="34" spans="1:38" x14ac:dyDescent="0.35">
      <c r="A34" s="215" t="str">
        <f>[2]Sheet8!B42</f>
        <v xml:space="preserve"> </v>
      </c>
      <c r="B34" s="216"/>
      <c r="C34" s="216"/>
      <c r="D34" s="216"/>
      <c r="E34" s="216"/>
      <c r="F34" s="216"/>
      <c r="G34" s="216"/>
      <c r="H34" s="216"/>
      <c r="I34" s="216"/>
      <c r="J34" s="216"/>
      <c r="K34" s="216"/>
      <c r="L34" s="216"/>
      <c r="M34" s="216"/>
      <c r="N34" s="216"/>
      <c r="O34" s="216"/>
      <c r="P34" s="217"/>
      <c r="Q34" s="221" t="str">
        <f>[2]Sheet8!E42</f>
        <v xml:space="preserve"> </v>
      </c>
      <c r="R34" s="216"/>
      <c r="S34" s="216"/>
      <c r="T34" s="216"/>
      <c r="U34" s="216"/>
      <c r="V34" s="216"/>
      <c r="W34" s="216"/>
      <c r="X34" s="216"/>
      <c r="Y34" s="216"/>
      <c r="Z34" s="222"/>
      <c r="AA34" s="233">
        <f>([2]Sheet8!B3*[2]Sheet8!E3*[2]Sheet8!B30)+([2]Sheet8!B4*[2]Sheet8!E4*[2]Sheet8!B30)</f>
        <v>0</v>
      </c>
      <c r="AB34" s="234"/>
      <c r="AC34" s="234"/>
      <c r="AD34" s="235"/>
      <c r="AE34" s="233" t="str">
        <f>[2]Sheet8!J42</f>
        <v xml:space="preserve"> </v>
      </c>
      <c r="AF34" s="234"/>
      <c r="AG34" s="234"/>
      <c r="AH34" s="235"/>
      <c r="AI34" s="233">
        <f>[2]Sheet8!H24*[2]Sheet8!B30</f>
        <v>0</v>
      </c>
      <c r="AJ34" s="234"/>
      <c r="AK34" s="234"/>
      <c r="AL34" s="236"/>
    </row>
    <row r="35" spans="1:38" x14ac:dyDescent="0.35">
      <c r="A35" s="218"/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20"/>
      <c r="Q35" s="223"/>
      <c r="R35" s="219"/>
      <c r="S35" s="219"/>
      <c r="T35" s="219"/>
      <c r="U35" s="219"/>
      <c r="V35" s="219"/>
      <c r="W35" s="219"/>
      <c r="X35" s="219"/>
      <c r="Y35" s="219"/>
      <c r="Z35" s="224"/>
      <c r="AA35" s="237"/>
      <c r="AB35" s="238"/>
      <c r="AC35" s="238"/>
      <c r="AD35" s="239"/>
      <c r="AE35" s="237"/>
      <c r="AF35" s="238"/>
      <c r="AG35" s="238"/>
      <c r="AH35" s="239"/>
      <c r="AI35" s="237"/>
      <c r="AJ35" s="238"/>
      <c r="AK35" s="238"/>
      <c r="AL35" s="240"/>
    </row>
    <row r="36" spans="1:38" x14ac:dyDescent="0.35">
      <c r="A36" s="215" t="str">
        <f>[2]Sheet9!B42</f>
        <v xml:space="preserve"> </v>
      </c>
      <c r="B36" s="216"/>
      <c r="C36" s="216"/>
      <c r="D36" s="216"/>
      <c r="E36" s="216"/>
      <c r="F36" s="216"/>
      <c r="G36" s="216"/>
      <c r="H36" s="216"/>
      <c r="I36" s="216"/>
      <c r="J36" s="216"/>
      <c r="K36" s="216"/>
      <c r="L36" s="216"/>
      <c r="M36" s="216"/>
      <c r="N36" s="216"/>
      <c r="O36" s="216"/>
      <c r="P36" s="217"/>
      <c r="Q36" s="221" t="str">
        <f>[2]Sheet9!E42</f>
        <v xml:space="preserve"> </v>
      </c>
      <c r="R36" s="216"/>
      <c r="S36" s="216"/>
      <c r="T36" s="216"/>
      <c r="U36" s="216"/>
      <c r="V36" s="216"/>
      <c r="W36" s="216"/>
      <c r="X36" s="216"/>
      <c r="Y36" s="216"/>
      <c r="Z36" s="222"/>
      <c r="AA36" s="225">
        <f>([2]Sheet9!B3*[2]Sheet9!E3*[2]Sheet9!B30)+([2]Sheet9!B4*[2]Sheet9!E4*[2]Sheet9!B30)</f>
        <v>0</v>
      </c>
      <c r="AB36" s="226"/>
      <c r="AC36" s="226"/>
      <c r="AD36" s="227"/>
      <c r="AE36" s="225" t="str">
        <f>[2]Sheet9!J42</f>
        <v xml:space="preserve"> </v>
      </c>
      <c r="AF36" s="226"/>
      <c r="AG36" s="226"/>
      <c r="AH36" s="227"/>
      <c r="AI36" s="225">
        <f>[2]Sheet9!H24*[2]Sheet9!B30</f>
        <v>0</v>
      </c>
      <c r="AJ36" s="226"/>
      <c r="AK36" s="226"/>
      <c r="AL36" s="231"/>
    </row>
    <row r="37" spans="1:38" x14ac:dyDescent="0.35">
      <c r="A37" s="218"/>
      <c r="B37" s="2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20"/>
      <c r="Q37" s="223"/>
      <c r="R37" s="219"/>
      <c r="S37" s="219"/>
      <c r="T37" s="219"/>
      <c r="U37" s="219"/>
      <c r="V37" s="219"/>
      <c r="W37" s="219"/>
      <c r="X37" s="219"/>
      <c r="Y37" s="219"/>
      <c r="Z37" s="224"/>
      <c r="AA37" s="228"/>
      <c r="AB37" s="229"/>
      <c r="AC37" s="229"/>
      <c r="AD37" s="230"/>
      <c r="AE37" s="228"/>
      <c r="AF37" s="229"/>
      <c r="AG37" s="229"/>
      <c r="AH37" s="230"/>
      <c r="AI37" s="228"/>
      <c r="AJ37" s="229"/>
      <c r="AK37" s="229"/>
      <c r="AL37" s="232"/>
    </row>
    <row r="38" spans="1:38" x14ac:dyDescent="0.35">
      <c r="A38" s="215" t="str">
        <f>[2]Sheet10!B42</f>
        <v xml:space="preserve"> </v>
      </c>
      <c r="B38" s="216"/>
      <c r="C38" s="216"/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7"/>
      <c r="Q38" s="221" t="str">
        <f>[2]Sheet10!E42</f>
        <v xml:space="preserve"> </v>
      </c>
      <c r="R38" s="216"/>
      <c r="S38" s="216"/>
      <c r="T38" s="216"/>
      <c r="U38" s="216"/>
      <c r="V38" s="216"/>
      <c r="W38" s="216"/>
      <c r="X38" s="216"/>
      <c r="Y38" s="216"/>
      <c r="Z38" s="222"/>
      <c r="AA38" s="233">
        <f>([2]Sheet10!B3*[2]Sheet10!E3*[2]Sheet10!B30)+([2]Sheet10!B4*[2]Sheet10!E4*[2]Sheet10!B30)</f>
        <v>0</v>
      </c>
      <c r="AB38" s="234"/>
      <c r="AC38" s="234"/>
      <c r="AD38" s="235"/>
      <c r="AE38" s="233" t="str">
        <f>[2]Sheet10!J42</f>
        <v xml:space="preserve"> </v>
      </c>
      <c r="AF38" s="234"/>
      <c r="AG38" s="234"/>
      <c r="AH38" s="235"/>
      <c r="AI38" s="233">
        <f>[2]Sheet10!H24*[2]Sheet10!B30</f>
        <v>0</v>
      </c>
      <c r="AJ38" s="234"/>
      <c r="AK38" s="234"/>
      <c r="AL38" s="236"/>
    </row>
    <row r="39" spans="1:38" x14ac:dyDescent="0.35">
      <c r="A39" s="218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20"/>
      <c r="Q39" s="223"/>
      <c r="R39" s="219"/>
      <c r="S39" s="219"/>
      <c r="T39" s="219"/>
      <c r="U39" s="219"/>
      <c r="V39" s="219"/>
      <c r="W39" s="219"/>
      <c r="X39" s="219"/>
      <c r="Y39" s="219"/>
      <c r="Z39" s="224"/>
      <c r="AA39" s="228"/>
      <c r="AB39" s="229"/>
      <c r="AC39" s="229"/>
      <c r="AD39" s="230"/>
      <c r="AE39" s="228"/>
      <c r="AF39" s="229"/>
      <c r="AG39" s="229"/>
      <c r="AH39" s="230"/>
      <c r="AI39" s="228"/>
      <c r="AJ39" s="229"/>
      <c r="AK39" s="229"/>
      <c r="AL39" s="232"/>
    </row>
    <row r="40" spans="1:38" x14ac:dyDescent="0.35">
      <c r="A40" s="209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  <c r="AA40" s="210"/>
      <c r="AB40" s="210"/>
      <c r="AC40" s="210"/>
      <c r="AD40" s="210"/>
      <c r="AE40" s="210"/>
      <c r="AF40" s="210"/>
      <c r="AG40" s="210"/>
      <c r="AH40" s="210"/>
      <c r="AI40" s="210"/>
      <c r="AJ40" s="210"/>
      <c r="AK40" s="210"/>
      <c r="AL40" s="211"/>
    </row>
    <row r="41" spans="1:38" x14ac:dyDescent="0.35">
      <c r="A41" s="209"/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210"/>
      <c r="AF41" s="210"/>
      <c r="AG41" s="210"/>
      <c r="AH41" s="210"/>
      <c r="AI41" s="210"/>
      <c r="AJ41" s="210"/>
      <c r="AK41" s="210"/>
      <c r="AL41" s="211"/>
    </row>
    <row r="42" spans="1:38" x14ac:dyDescent="0.35">
      <c r="A42" s="209"/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0"/>
      <c r="AB42" s="210"/>
      <c r="AC42" s="210"/>
      <c r="AD42" s="210"/>
      <c r="AE42" s="210"/>
      <c r="AF42" s="210"/>
      <c r="AG42" s="210"/>
      <c r="AH42" s="210"/>
      <c r="AI42" s="210"/>
      <c r="AJ42" s="210"/>
      <c r="AK42" s="210"/>
      <c r="AL42" s="211"/>
    </row>
    <row r="43" spans="1:38" x14ac:dyDescent="0.35">
      <c r="A43" s="209"/>
      <c r="B43" s="210"/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  <c r="AA43" s="210"/>
      <c r="AB43" s="210"/>
      <c r="AC43" s="210"/>
      <c r="AD43" s="210"/>
      <c r="AE43" s="210"/>
      <c r="AF43" s="210"/>
      <c r="AG43" s="210"/>
      <c r="AH43" s="210"/>
      <c r="AI43" s="210"/>
      <c r="AJ43" s="210"/>
      <c r="AK43" s="210"/>
      <c r="AL43" s="211"/>
    </row>
    <row r="44" spans="1:38" x14ac:dyDescent="0.35">
      <c r="A44" s="209"/>
      <c r="B44" s="210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  <c r="AA44" s="210"/>
      <c r="AB44" s="210"/>
      <c r="AC44" s="210"/>
      <c r="AD44" s="210"/>
      <c r="AE44" s="210"/>
      <c r="AF44" s="210"/>
      <c r="AG44" s="210"/>
      <c r="AH44" s="210"/>
      <c r="AI44" s="210"/>
      <c r="AJ44" s="210"/>
      <c r="AK44" s="210"/>
      <c r="AL44" s="211"/>
    </row>
    <row r="45" spans="1:38" x14ac:dyDescent="0.35">
      <c r="A45" s="209"/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  <c r="AB45" s="210"/>
      <c r="AC45" s="210"/>
      <c r="AD45" s="210"/>
      <c r="AE45" s="210"/>
      <c r="AF45" s="210"/>
      <c r="AG45" s="210"/>
      <c r="AH45" s="210"/>
      <c r="AI45" s="210"/>
      <c r="AJ45" s="210"/>
      <c r="AK45" s="210"/>
      <c r="AL45" s="211"/>
    </row>
    <row r="46" spans="1:38" x14ac:dyDescent="0.35">
      <c r="A46" s="209"/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  <c r="AA46" s="210"/>
      <c r="AB46" s="210"/>
      <c r="AC46" s="210"/>
      <c r="AD46" s="210"/>
      <c r="AE46" s="210"/>
      <c r="AF46" s="210"/>
      <c r="AG46" s="210"/>
      <c r="AH46" s="210"/>
      <c r="AI46" s="210"/>
      <c r="AJ46" s="210"/>
      <c r="AK46" s="210"/>
      <c r="AL46" s="211"/>
    </row>
    <row r="47" spans="1:38" x14ac:dyDescent="0.35">
      <c r="A47" s="209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  <c r="AB47" s="210"/>
      <c r="AC47" s="210"/>
      <c r="AD47" s="210"/>
      <c r="AE47" s="210"/>
      <c r="AF47" s="210"/>
      <c r="AG47" s="210"/>
      <c r="AH47" s="210"/>
      <c r="AI47" s="210"/>
      <c r="AJ47" s="210"/>
      <c r="AK47" s="210"/>
      <c r="AL47" s="211"/>
    </row>
    <row r="48" spans="1:38" x14ac:dyDescent="0.35">
      <c r="A48" s="209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  <c r="AI48" s="210"/>
      <c r="AJ48" s="210"/>
      <c r="AK48" s="210"/>
      <c r="AL48" s="211"/>
    </row>
    <row r="49" spans="1:38" ht="15" thickBot="1" x14ac:dyDescent="0.4">
      <c r="A49" s="212"/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4"/>
    </row>
    <row r="50" spans="1:38" ht="15" thickBot="1" x14ac:dyDescent="0.4">
      <c r="A50" s="206" t="s">
        <v>61</v>
      </c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  <c r="AA50" s="207"/>
      <c r="AB50" s="207"/>
      <c r="AC50" s="207"/>
      <c r="AD50" s="207"/>
      <c r="AE50" s="207"/>
      <c r="AF50" s="207"/>
      <c r="AG50" s="207"/>
      <c r="AH50" s="207"/>
      <c r="AI50" s="207"/>
      <c r="AJ50" s="207"/>
      <c r="AK50" s="207"/>
      <c r="AL50" s="208"/>
    </row>
  </sheetData>
  <mergeCells count="85">
    <mergeCell ref="A1:F1"/>
    <mergeCell ref="G1:AD3"/>
    <mergeCell ref="AE1:AL7"/>
    <mergeCell ref="A2:F3"/>
    <mergeCell ref="A4:I4"/>
    <mergeCell ref="J4:AD4"/>
    <mergeCell ref="A5:I7"/>
    <mergeCell ref="J5:AD7"/>
    <mergeCell ref="A8:F8"/>
    <mergeCell ref="G8:L8"/>
    <mergeCell ref="M8:T8"/>
    <mergeCell ref="U8:AL8"/>
    <mergeCell ref="A9:F10"/>
    <mergeCell ref="G9:L10"/>
    <mergeCell ref="M9:P10"/>
    <mergeCell ref="Q9:T10"/>
    <mergeCell ref="U9:AL10"/>
    <mergeCell ref="A11:AL12"/>
    <mergeCell ref="A19:P19"/>
    <mergeCell ref="Q19:Z19"/>
    <mergeCell ref="AA19:AD19"/>
    <mergeCell ref="AE19:AH19"/>
    <mergeCell ref="AI19:AL19"/>
    <mergeCell ref="A13:AL14"/>
    <mergeCell ref="A15:AL18"/>
    <mergeCell ref="Q22:Z23"/>
    <mergeCell ref="AA22:AD23"/>
    <mergeCell ref="AE22:AH23"/>
    <mergeCell ref="AI22:AL23"/>
    <mergeCell ref="A20:P21"/>
    <mergeCell ref="Q20:Z21"/>
    <mergeCell ref="AA20:AD21"/>
    <mergeCell ref="AE20:AH21"/>
    <mergeCell ref="AI20:AL21"/>
    <mergeCell ref="A22:F23"/>
    <mergeCell ref="G22:L22"/>
    <mergeCell ref="G23:L23"/>
    <mergeCell ref="M22:P22"/>
    <mergeCell ref="M23:P23"/>
    <mergeCell ref="A26:P27"/>
    <mergeCell ref="Q26:Z27"/>
    <mergeCell ref="AA26:AD27"/>
    <mergeCell ref="AE26:AH27"/>
    <mergeCell ref="AI26:AL27"/>
    <mergeCell ref="A24:P25"/>
    <mergeCell ref="Q24:Z25"/>
    <mergeCell ref="AA24:AD25"/>
    <mergeCell ref="AE24:AH25"/>
    <mergeCell ref="AI24:AL25"/>
    <mergeCell ref="A30:P31"/>
    <mergeCell ref="Q30:Z31"/>
    <mergeCell ref="AA30:AD31"/>
    <mergeCell ref="AE30:AH31"/>
    <mergeCell ref="AI30:AL31"/>
    <mergeCell ref="A28:P29"/>
    <mergeCell ref="Q28:Z29"/>
    <mergeCell ref="AA28:AD29"/>
    <mergeCell ref="AE28:AH29"/>
    <mergeCell ref="AI28:AL29"/>
    <mergeCell ref="A34:P35"/>
    <mergeCell ref="Q34:Z35"/>
    <mergeCell ref="AA34:AD35"/>
    <mergeCell ref="AE34:AH35"/>
    <mergeCell ref="AI34:AL35"/>
    <mergeCell ref="A32:P33"/>
    <mergeCell ref="Q32:Z33"/>
    <mergeCell ref="AA32:AD33"/>
    <mergeCell ref="AE32:AH33"/>
    <mergeCell ref="AI32:AL33"/>
    <mergeCell ref="A38:P39"/>
    <mergeCell ref="Q38:Z39"/>
    <mergeCell ref="AA38:AD39"/>
    <mergeCell ref="AE38:AH39"/>
    <mergeCell ref="AI38:AL39"/>
    <mergeCell ref="A36:P37"/>
    <mergeCell ref="Q36:Z37"/>
    <mergeCell ref="AA36:AD37"/>
    <mergeCell ref="AE36:AH37"/>
    <mergeCell ref="AI36:AL37"/>
    <mergeCell ref="A50:AL50"/>
    <mergeCell ref="A40:AL41"/>
    <mergeCell ref="A42:AL43"/>
    <mergeCell ref="A44:AL45"/>
    <mergeCell ref="A46:AL47"/>
    <mergeCell ref="A48:AL49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42"/>
  <sheetViews>
    <sheetView workbookViewId="0">
      <selection activeCell="E8" sqref="E8"/>
    </sheetView>
  </sheetViews>
  <sheetFormatPr defaultColWidth="9.1796875" defaultRowHeight="16" x14ac:dyDescent="0.35"/>
  <cols>
    <col min="1" max="1" width="12" style="64" customWidth="1"/>
    <col min="2" max="2" width="4.1796875" style="64" customWidth="1"/>
    <col min="3" max="3" width="15.7265625" style="64" customWidth="1"/>
    <col min="4" max="4" width="12.81640625" style="64" customWidth="1"/>
    <col min="5" max="5" width="15.54296875" style="64" bestFit="1" customWidth="1"/>
    <col min="6" max="6" width="5.7265625" style="64" customWidth="1"/>
    <col min="7" max="7" width="11.26953125" style="64" bestFit="1" customWidth="1"/>
    <col min="8" max="9" width="4.81640625" style="64" bestFit="1" customWidth="1"/>
    <col min="10" max="10" width="4.54296875" style="64" bestFit="1" customWidth="1"/>
    <col min="11" max="16384" width="9.1796875" style="64"/>
  </cols>
  <sheetData>
    <row r="1" spans="1:12" x14ac:dyDescent="0.35">
      <c r="C1" s="65" t="s">
        <v>62</v>
      </c>
      <c r="F1" s="66" t="s">
        <v>63</v>
      </c>
      <c r="I1" s="67"/>
      <c r="J1" s="66"/>
      <c r="K1" s="68"/>
      <c r="L1" s="69"/>
    </row>
    <row r="2" spans="1:12" x14ac:dyDescent="0.35">
      <c r="C2" s="66" t="s">
        <v>64</v>
      </c>
      <c r="F2" s="66" t="s">
        <v>65</v>
      </c>
      <c r="I2" s="67"/>
      <c r="J2" s="66"/>
      <c r="K2" s="68"/>
      <c r="L2" s="69"/>
    </row>
    <row r="3" spans="1:12" x14ac:dyDescent="0.35">
      <c r="C3" s="66" t="s">
        <v>66</v>
      </c>
      <c r="F3" s="66" t="s">
        <v>67</v>
      </c>
      <c r="I3" s="67"/>
      <c r="J3" s="66"/>
      <c r="K3" s="68"/>
      <c r="L3" s="69"/>
    </row>
    <row r="4" spans="1:12" x14ac:dyDescent="0.35">
      <c r="C4" s="66" t="s">
        <v>68</v>
      </c>
      <c r="F4" s="66"/>
      <c r="H4" s="66"/>
      <c r="I4" s="67"/>
      <c r="J4" s="66"/>
      <c r="K4" s="68"/>
      <c r="L4" s="69"/>
    </row>
    <row r="5" spans="1:12" x14ac:dyDescent="0.35">
      <c r="G5" s="69"/>
      <c r="H5" s="69"/>
      <c r="J5" s="69"/>
      <c r="K5" s="68"/>
      <c r="L5" s="69"/>
    </row>
    <row r="6" spans="1:12" s="71" customFormat="1" ht="18.5" x14ac:dyDescent="0.35">
      <c r="A6" s="70" t="s">
        <v>69</v>
      </c>
      <c r="B6" s="70"/>
    </row>
    <row r="7" spans="1:12" s="71" customFormat="1" ht="14.5" x14ac:dyDescent="0.35"/>
    <row r="8" spans="1:12" s="74" customFormat="1" ht="17.25" customHeight="1" x14ac:dyDescent="0.35">
      <c r="A8" s="72" t="s">
        <v>70</v>
      </c>
      <c r="B8" s="367" t="str">
        <f>Job!A5</f>
        <v>000</v>
      </c>
      <c r="C8" s="367"/>
      <c r="D8" s="71"/>
      <c r="E8" s="73" t="s">
        <v>71</v>
      </c>
      <c r="F8" s="72" t="e">
        <f>#REF!</f>
        <v>#REF!</v>
      </c>
      <c r="G8" s="72"/>
      <c r="H8" s="71"/>
      <c r="I8" s="71"/>
      <c r="J8" s="71"/>
    </row>
    <row r="9" spans="1:12" s="74" customFormat="1" ht="17.25" customHeight="1" x14ac:dyDescent="0.35">
      <c r="A9" s="72" t="s">
        <v>38</v>
      </c>
      <c r="B9" s="368">
        <f ca="1">TODAY()</f>
        <v>44598</v>
      </c>
      <c r="C9" s="368"/>
      <c r="D9" s="71"/>
      <c r="E9" s="73" t="s">
        <v>72</v>
      </c>
      <c r="F9" s="72" t="e">
        <f>#REF!</f>
        <v>#REF!</v>
      </c>
      <c r="G9" s="72"/>
      <c r="H9" s="71"/>
      <c r="I9" s="71"/>
      <c r="J9" s="71"/>
    </row>
    <row r="10" spans="1:12" s="74" customFormat="1" ht="17.25" customHeight="1" x14ac:dyDescent="0.35">
      <c r="A10" s="72" t="s">
        <v>73</v>
      </c>
      <c r="B10" s="369">
        <f>'general info'!C3</f>
        <v>0</v>
      </c>
      <c r="C10" s="369"/>
      <c r="D10" s="71"/>
      <c r="E10" s="75"/>
      <c r="F10" s="72" t="e">
        <f>#REF!</f>
        <v>#REF!</v>
      </c>
      <c r="G10" s="72"/>
      <c r="H10" s="71"/>
      <c r="I10" s="71"/>
      <c r="J10" s="71"/>
    </row>
    <row r="11" spans="1:12" s="74" customFormat="1" ht="17.25" customHeight="1" x14ac:dyDescent="0.35">
      <c r="A11" s="72"/>
      <c r="B11" s="72"/>
      <c r="C11" s="72"/>
      <c r="D11" s="71"/>
      <c r="E11" s="75"/>
      <c r="F11" s="72" t="e">
        <f>#REF!</f>
        <v>#REF!</v>
      </c>
      <c r="G11" s="72"/>
      <c r="H11" s="71"/>
      <c r="I11" s="71"/>
      <c r="J11" s="71"/>
    </row>
    <row r="12" spans="1:12" s="74" customFormat="1" ht="15.5" x14ac:dyDescent="0.35">
      <c r="A12" s="71"/>
      <c r="B12" s="71"/>
      <c r="C12" s="71"/>
      <c r="D12" s="71"/>
      <c r="E12" s="75"/>
      <c r="F12" s="72"/>
      <c r="G12" s="72"/>
      <c r="H12" s="71"/>
      <c r="I12" s="71"/>
      <c r="J12" s="71"/>
    </row>
    <row r="13" spans="1:12" s="74" customFormat="1" ht="15.5" x14ac:dyDescent="0.35">
      <c r="A13" s="75" t="s">
        <v>74</v>
      </c>
      <c r="C13" s="76"/>
      <c r="D13" s="71"/>
      <c r="E13" s="73" t="s">
        <v>39</v>
      </c>
      <c r="F13" s="72" t="str">
        <f>'general info'!C5</f>
        <v>Andrew Scerri</v>
      </c>
      <c r="G13" s="72"/>
      <c r="H13" s="72"/>
      <c r="I13" s="71"/>
      <c r="J13" s="71"/>
    </row>
    <row r="14" spans="1:12" s="74" customFormat="1" ht="15.5" x14ac:dyDescent="0.35">
      <c r="A14" s="75" t="s">
        <v>43</v>
      </c>
      <c r="C14" s="76"/>
      <c r="D14" s="71"/>
      <c r="E14" s="73" t="s">
        <v>41</v>
      </c>
      <c r="F14" s="369"/>
      <c r="G14" s="369"/>
      <c r="H14" s="72"/>
      <c r="I14" s="71"/>
      <c r="J14" s="71"/>
    </row>
    <row r="15" spans="1:12" s="74" customFormat="1" ht="15.5" x14ac:dyDescent="0.35">
      <c r="A15" s="75"/>
      <c r="C15" s="76"/>
      <c r="D15" s="71"/>
      <c r="E15" s="73"/>
      <c r="F15" s="72"/>
      <c r="G15" s="72"/>
      <c r="H15" s="72"/>
      <c r="I15" s="71"/>
      <c r="J15" s="71"/>
    </row>
    <row r="16" spans="1:12" s="74" customFormat="1" ht="15.5" x14ac:dyDescent="0.35"/>
    <row r="17" spans="1:11" s="74" customFormat="1" ht="15.5" x14ac:dyDescent="0.35">
      <c r="A17" s="370" t="s">
        <v>75</v>
      </c>
      <c r="B17" s="371"/>
      <c r="C17" s="372" t="s">
        <v>76</v>
      </c>
      <c r="D17" s="372"/>
      <c r="E17" s="77" t="s">
        <v>77</v>
      </c>
      <c r="F17" s="77" t="s">
        <v>78</v>
      </c>
      <c r="G17" s="77" t="s">
        <v>79</v>
      </c>
      <c r="H17" s="77" t="s">
        <v>80</v>
      </c>
      <c r="K17" s="78"/>
    </row>
    <row r="18" spans="1:11" s="74" customFormat="1" ht="15.5" x14ac:dyDescent="0.35">
      <c r="A18" s="363" t="s">
        <v>11</v>
      </c>
      <c r="B18" s="364"/>
      <c r="C18" s="365" t="e">
        <f>#REF!</f>
        <v>#REF!</v>
      </c>
      <c r="D18" s="365"/>
      <c r="E18" s="79">
        <v>0</v>
      </c>
      <c r="F18" s="80">
        <v>1</v>
      </c>
      <c r="G18" s="79">
        <f>F18*E18</f>
        <v>0</v>
      </c>
      <c r="H18" s="81">
        <v>0.18</v>
      </c>
      <c r="K18" s="82"/>
    </row>
    <row r="19" spans="1:11" s="74" customFormat="1" ht="15.5" x14ac:dyDescent="0.35">
      <c r="A19" s="363"/>
      <c r="B19" s="364"/>
      <c r="C19" s="363"/>
      <c r="D19" s="364"/>
      <c r="E19" s="79"/>
      <c r="F19" s="80"/>
      <c r="G19" s="79"/>
      <c r="H19" s="81"/>
      <c r="K19" s="82"/>
    </row>
    <row r="20" spans="1:11" s="74" customFormat="1" ht="15.5" x14ac:dyDescent="0.35">
      <c r="A20" s="83"/>
      <c r="B20" s="83"/>
      <c r="E20" s="84"/>
      <c r="F20" s="84"/>
      <c r="G20" s="84"/>
      <c r="H20" s="85"/>
      <c r="K20" s="85"/>
    </row>
    <row r="21" spans="1:11" s="74" customFormat="1" ht="24" customHeight="1" x14ac:dyDescent="0.35">
      <c r="A21" s="83"/>
      <c r="B21" s="83"/>
      <c r="E21" s="366" t="s">
        <v>81</v>
      </c>
      <c r="F21" s="366"/>
      <c r="G21" s="86">
        <f>SUM(G18:G20)</f>
        <v>0</v>
      </c>
      <c r="H21" s="84"/>
      <c r="K21" s="84"/>
    </row>
    <row r="22" spans="1:11" s="74" customFormat="1" ht="24" customHeight="1" x14ac:dyDescent="0.35">
      <c r="E22" s="362" t="s">
        <v>82</v>
      </c>
      <c r="F22" s="362"/>
      <c r="G22" s="86">
        <f>G23-G21</f>
        <v>0</v>
      </c>
      <c r="H22" s="84"/>
    </row>
    <row r="23" spans="1:11" s="74" customFormat="1" ht="24" customHeight="1" x14ac:dyDescent="0.35">
      <c r="A23" s="83"/>
      <c r="B23" s="83"/>
      <c r="E23" s="362" t="s">
        <v>83</v>
      </c>
      <c r="F23" s="362"/>
      <c r="G23" s="87">
        <f>G21*1.18</f>
        <v>0</v>
      </c>
      <c r="H23" s="88"/>
      <c r="K23" s="78"/>
    </row>
    <row r="24" spans="1:11" s="74" customFormat="1" ht="15.5" x14ac:dyDescent="0.35"/>
    <row r="25" spans="1:11" s="74" customFormat="1" ht="15.5" x14ac:dyDescent="0.35"/>
    <row r="26" spans="1:11" s="74" customFormat="1" ht="15.5" x14ac:dyDescent="0.35">
      <c r="A26" s="89" t="s">
        <v>84</v>
      </c>
      <c r="B26" s="90"/>
    </row>
    <row r="27" spans="1:11" s="71" customFormat="1" ht="14.5" x14ac:dyDescent="0.35"/>
    <row r="28" spans="1:11" s="92" customFormat="1" ht="29.25" customHeight="1" x14ac:dyDescent="0.35">
      <c r="A28" s="91" t="s">
        <v>85</v>
      </c>
      <c r="B28" s="91"/>
      <c r="C28" s="95" t="s">
        <v>86</v>
      </c>
      <c r="D28" s="91"/>
    </row>
    <row r="29" spans="1:11" s="92" customFormat="1" ht="29.25" customHeight="1" x14ac:dyDescent="0.35">
      <c r="A29" s="91" t="s">
        <v>87</v>
      </c>
      <c r="B29" s="91"/>
      <c r="C29" s="95" t="s">
        <v>88</v>
      </c>
      <c r="D29" s="91"/>
    </row>
    <row r="30" spans="1:11" s="92" customFormat="1" ht="29.25" customHeight="1" x14ac:dyDescent="0.35">
      <c r="A30" s="91" t="s">
        <v>89</v>
      </c>
      <c r="B30" s="91"/>
      <c r="C30" s="96" t="s">
        <v>90</v>
      </c>
      <c r="D30" s="91"/>
    </row>
    <row r="31" spans="1:11" s="71" customFormat="1" ht="14.5" x14ac:dyDescent="0.35"/>
    <row r="32" spans="1:11" s="71" customFormat="1" ht="14.5" x14ac:dyDescent="0.35"/>
    <row r="33" spans="1:11" s="71" customFormat="1" ht="14.5" x14ac:dyDescent="0.35">
      <c r="A33" s="76"/>
      <c r="B33" s="76"/>
      <c r="C33" s="76"/>
      <c r="D33" s="76"/>
      <c r="E33" s="76"/>
      <c r="F33" s="76"/>
    </row>
    <row r="34" spans="1:11" s="74" customFormat="1" ht="15.5" x14ac:dyDescent="0.35">
      <c r="A34" s="93"/>
      <c r="B34" s="93"/>
      <c r="C34" s="93"/>
      <c r="D34" s="76"/>
      <c r="E34" s="76"/>
      <c r="F34" s="76"/>
      <c r="G34" s="76"/>
      <c r="I34" s="84"/>
      <c r="J34" s="84"/>
      <c r="K34" s="84"/>
    </row>
    <row r="35" spans="1:11" s="74" customFormat="1" ht="15.5" x14ac:dyDescent="0.35">
      <c r="A35" s="65" t="s">
        <v>91</v>
      </c>
      <c r="B35" s="65"/>
      <c r="C35" s="65"/>
      <c r="D35" s="94"/>
      <c r="E35" s="94"/>
      <c r="F35" s="76"/>
      <c r="G35" s="94"/>
    </row>
    <row r="36" spans="1:11" s="71" customFormat="1" ht="14.5" x14ac:dyDescent="0.35"/>
    <row r="37" spans="1:11" s="71" customFormat="1" ht="14.5" x14ac:dyDescent="0.35"/>
    <row r="38" spans="1:11" s="71" customFormat="1" ht="14.5" x14ac:dyDescent="0.35"/>
    <row r="39" spans="1:11" s="71" customFormat="1" ht="14.5" x14ac:dyDescent="0.35"/>
    <row r="40" spans="1:11" s="71" customFormat="1" ht="14.5" x14ac:dyDescent="0.35"/>
    <row r="41" spans="1:11" s="71" customFormat="1" ht="14.5" x14ac:dyDescent="0.35"/>
    <row r="42" spans="1:11" s="71" customFormat="1" ht="14.5" x14ac:dyDescent="0.35"/>
  </sheetData>
  <mergeCells count="13">
    <mergeCell ref="B8:C8"/>
    <mergeCell ref="B9:C9"/>
    <mergeCell ref="B10:C10"/>
    <mergeCell ref="F14:G14"/>
    <mergeCell ref="A17:B17"/>
    <mergeCell ref="C17:D17"/>
    <mergeCell ref="E23:F23"/>
    <mergeCell ref="A18:B18"/>
    <mergeCell ref="C18:D18"/>
    <mergeCell ref="A19:B19"/>
    <mergeCell ref="C19:D19"/>
    <mergeCell ref="E21:F21"/>
    <mergeCell ref="E22:F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 info</vt:lpstr>
      <vt:lpstr>Drawign &amp; Notes</vt:lpstr>
      <vt:lpstr>PARTS CALCULATIONS</vt:lpstr>
      <vt:lpstr>DASHBOARD</vt:lpstr>
      <vt:lpstr>PriceListImp</vt:lpstr>
      <vt:lpstr>PriceListOld</vt:lpstr>
      <vt:lpstr>PriceFile</vt:lpstr>
      <vt:lpstr>Job</vt:lpstr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</dc:creator>
  <cp:lastModifiedBy>Alexander Micallef</cp:lastModifiedBy>
  <cp:lastPrinted>2020-05-27T07:29:42Z</cp:lastPrinted>
  <dcterms:created xsi:type="dcterms:W3CDTF">2018-12-06T12:39:40Z</dcterms:created>
  <dcterms:modified xsi:type="dcterms:W3CDTF">2022-02-06T19:32:23Z</dcterms:modified>
</cp:coreProperties>
</file>