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227mt-my.sharepoint.com/personal/alex_227_mt/Documents/Documents/Business/Silver Craft/Development/xls/"/>
    </mc:Choice>
  </mc:AlternateContent>
  <xr:revisionPtr revIDLastSave="5" documentId="8_{E6C49FC0-39F4-428B-9EFB-FF0730D7D44D}" xr6:coauthVersionLast="47" xr6:coauthVersionMax="47" xr10:uidLastSave="{C9294D1A-8812-48EB-831C-9AE40BD4FC3B}"/>
  <bookViews>
    <workbookView xWindow="-110" yWindow="-110" windowWidth="19420" windowHeight="11020" xr2:uid="{00000000-000D-0000-FFFF-FFFF00000000}"/>
  </bookViews>
  <sheets>
    <sheet name="General info" sheetId="1" r:id="rId1"/>
    <sheet name="Drawing &amp; Notes" sheetId="9" r:id="rId2"/>
    <sheet name="Parts Cal" sheetId="2" r:id="rId3"/>
    <sheet name="Cylinder Cal" sheetId="3" r:id="rId4"/>
    <sheet name="Vetro Resina Info" sheetId="4" r:id="rId5"/>
    <sheet name="Job Card" sheetId="5" r:id="rId6"/>
    <sheet name="Order" sheetId="6" r:id="rId7"/>
    <sheet name="Formal Order" sheetId="7" r:id="rId8"/>
    <sheet name="PW 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1" l="1"/>
  <c r="F64" i="1"/>
  <c r="E64" i="1"/>
  <c r="A64" i="1"/>
  <c r="D64" i="1" s="1"/>
  <c r="F63" i="1"/>
  <c r="E63" i="1"/>
  <c r="D63" i="1"/>
  <c r="A63" i="1"/>
  <c r="B63" i="1" s="1"/>
  <c r="F62" i="1"/>
  <c r="E62" i="1"/>
  <c r="D62" i="1"/>
  <c r="A62" i="1"/>
  <c r="B62" i="1" s="1"/>
  <c r="F61" i="1"/>
  <c r="E61" i="1"/>
  <c r="A61" i="1"/>
  <c r="D61" i="1" s="1"/>
  <c r="F60" i="1"/>
  <c r="E60" i="1"/>
  <c r="B60" i="1"/>
  <c r="A60" i="1"/>
  <c r="D60" i="1" s="1"/>
  <c r="F59" i="1"/>
  <c r="E59" i="1"/>
  <c r="D59" i="1"/>
  <c r="B59" i="1"/>
  <c r="A59" i="1"/>
  <c r="F58" i="1"/>
  <c r="E58" i="1"/>
  <c r="D58" i="1"/>
  <c r="B58" i="1"/>
  <c r="A58" i="1"/>
  <c r="F57" i="1"/>
  <c r="E57" i="1"/>
  <c r="A57" i="1"/>
  <c r="D57" i="1" s="1"/>
  <c r="F56" i="1"/>
  <c r="E56" i="1"/>
  <c r="A56" i="1"/>
  <c r="D56" i="1" s="1"/>
  <c r="F55" i="1"/>
  <c r="E55" i="1"/>
  <c r="A55" i="1"/>
  <c r="D55" i="1" s="1"/>
  <c r="C2" i="1"/>
  <c r="B56" i="1" l="1"/>
  <c r="B57" i="1"/>
  <c r="B64" i="1"/>
  <c r="B61" i="1"/>
  <c r="B55" i="1"/>
  <c r="AJ20" i="5"/>
  <c r="AF20" i="5"/>
  <c r="AJ34" i="5"/>
  <c r="AF34" i="5"/>
  <c r="AJ32" i="5"/>
  <c r="AF32" i="5"/>
  <c r="AJ30" i="5"/>
  <c r="AF30" i="5"/>
  <c r="AJ28" i="5"/>
  <c r="AF28" i="5"/>
  <c r="AJ26" i="5"/>
  <c r="AF26" i="5"/>
  <c r="AJ24" i="5"/>
  <c r="AF24" i="5"/>
  <c r="A2" i="5"/>
  <c r="M39" i="2" l="1"/>
  <c r="M266" i="2"/>
  <c r="M243" i="2"/>
  <c r="M220" i="2"/>
  <c r="M197" i="2"/>
  <c r="M174" i="2"/>
  <c r="M131" i="2"/>
  <c r="M108" i="2"/>
  <c r="M85" i="2"/>
  <c r="M62" i="2"/>
  <c r="I264" i="2" l="1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H257" i="2"/>
  <c r="H256" i="2"/>
  <c r="I255" i="2"/>
  <c r="H255" i="2"/>
  <c r="I254" i="2"/>
  <c r="H254" i="2"/>
  <c r="H253" i="2"/>
  <c r="H252" i="2"/>
  <c r="H251" i="2"/>
  <c r="H250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H230" i="2"/>
  <c r="H229" i="2"/>
  <c r="H228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H208" i="2"/>
  <c r="H207" i="2"/>
  <c r="H206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H186" i="2"/>
  <c r="H185" i="2"/>
  <c r="H184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H164" i="2"/>
  <c r="H163" i="2"/>
  <c r="H162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H122" i="2"/>
  <c r="H121" i="2"/>
  <c r="H120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H100" i="2"/>
  <c r="H99" i="2"/>
  <c r="H98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H78" i="2"/>
  <c r="H77" i="2"/>
  <c r="H76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H56" i="2"/>
  <c r="H55" i="2"/>
  <c r="H54" i="2"/>
  <c r="I35" i="2"/>
  <c r="I36" i="2"/>
  <c r="I37" i="2"/>
  <c r="I38" i="2"/>
  <c r="I39" i="2"/>
  <c r="I40" i="2"/>
  <c r="I41" i="2"/>
  <c r="I42" i="2"/>
  <c r="I43" i="2"/>
  <c r="I44" i="2"/>
  <c r="I45" i="2"/>
  <c r="I46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32" i="2"/>
  <c r="M34" i="5"/>
  <c r="M32" i="5"/>
  <c r="M30" i="5"/>
  <c r="M28" i="5"/>
  <c r="M26" i="5"/>
  <c r="M24" i="5"/>
  <c r="M22" i="5"/>
  <c r="M20" i="5"/>
  <c r="U9" i="5"/>
  <c r="A15" i="5"/>
  <c r="A13" i="5"/>
  <c r="J5" i="5"/>
  <c r="M40" i="5"/>
  <c r="M38" i="5"/>
  <c r="Q34" i="5"/>
  <c r="Q32" i="5"/>
  <c r="Q30" i="5"/>
  <c r="Q28" i="5"/>
  <c r="Q26" i="5"/>
  <c r="Q24" i="5"/>
  <c r="Q22" i="5"/>
  <c r="Q20" i="5"/>
  <c r="A9" i="5"/>
  <c r="I69" i="2" l="1"/>
  <c r="J71" i="2" s="1"/>
  <c r="H47" i="2"/>
  <c r="I221" i="2"/>
  <c r="I91" i="2"/>
  <c r="J93" i="2" s="1"/>
  <c r="H199" i="2"/>
  <c r="H135" i="2"/>
  <c r="I113" i="2"/>
  <c r="J115" i="2" s="1"/>
  <c r="I243" i="2"/>
  <c r="I199" i="2"/>
  <c r="J201" i="2" s="1"/>
  <c r="I177" i="2"/>
  <c r="J179" i="2" s="1"/>
  <c r="H177" i="2"/>
  <c r="I135" i="2"/>
  <c r="J137" i="2" s="1"/>
  <c r="H91" i="2"/>
  <c r="H221" i="2"/>
  <c r="H243" i="2"/>
  <c r="H69" i="2"/>
  <c r="H113" i="2"/>
  <c r="H265" i="2"/>
  <c r="C3" i="2"/>
  <c r="C2" i="2"/>
  <c r="C14" i="1"/>
  <c r="C7" i="2" l="1"/>
  <c r="G22" i="7"/>
  <c r="G21" i="7"/>
  <c r="G20" i="7"/>
  <c r="G19" i="7"/>
  <c r="G18" i="7"/>
  <c r="G24" i="7" s="1"/>
  <c r="G26" i="7" s="1"/>
  <c r="G25" i="7" s="1"/>
  <c r="A18" i="7"/>
  <c r="F14" i="7"/>
  <c r="C14" i="7"/>
  <c r="F13" i="7"/>
  <c r="C13" i="7"/>
  <c r="F11" i="7"/>
  <c r="F10" i="7"/>
  <c r="B10" i="7"/>
  <c r="F9" i="7"/>
  <c r="B9" i="7"/>
  <c r="F8" i="7"/>
  <c r="B8" i="7"/>
  <c r="G18" i="6"/>
  <c r="G21" i="6" s="1"/>
  <c r="G23" i="6" s="1"/>
  <c r="G22" i="6" s="1"/>
  <c r="C18" i="6"/>
  <c r="F14" i="6"/>
  <c r="C14" i="6"/>
  <c r="F13" i="6"/>
  <c r="C13" i="6"/>
  <c r="F11" i="6"/>
  <c r="F10" i="6"/>
  <c r="B10" i="6"/>
  <c r="F9" i="6"/>
  <c r="B9" i="6"/>
  <c r="F8" i="6"/>
  <c r="B8" i="6"/>
  <c r="V55" i="4"/>
  <c r="S55" i="4"/>
  <c r="P55" i="4"/>
  <c r="M55" i="4"/>
  <c r="C55" i="4"/>
  <c r="D55" i="4" s="1"/>
  <c r="J55" i="4" s="1"/>
  <c r="V54" i="4"/>
  <c r="S54" i="4"/>
  <c r="P54" i="4"/>
  <c r="M54" i="4"/>
  <c r="C54" i="4"/>
  <c r="D54" i="4" s="1"/>
  <c r="J54" i="4" s="1"/>
  <c r="V53" i="4"/>
  <c r="S53" i="4"/>
  <c r="P53" i="4"/>
  <c r="M53" i="4"/>
  <c r="C53" i="4"/>
  <c r="D53" i="4" s="1"/>
  <c r="J53" i="4" s="1"/>
  <c r="V52" i="4"/>
  <c r="S52" i="4"/>
  <c r="P52" i="4"/>
  <c r="M52" i="4"/>
  <c r="C52" i="4"/>
  <c r="D52" i="4" s="1"/>
  <c r="J52" i="4" s="1"/>
  <c r="V51" i="4"/>
  <c r="S51" i="4"/>
  <c r="P51" i="4"/>
  <c r="M51" i="4"/>
  <c r="C51" i="4"/>
  <c r="D51" i="4" s="1"/>
  <c r="J51" i="4" s="1"/>
  <c r="V50" i="4"/>
  <c r="S50" i="4"/>
  <c r="P50" i="4"/>
  <c r="M50" i="4"/>
  <c r="D50" i="4"/>
  <c r="J50" i="4" s="1"/>
  <c r="C50" i="4"/>
  <c r="V49" i="4"/>
  <c r="S49" i="4"/>
  <c r="P49" i="4"/>
  <c r="M49" i="4"/>
  <c r="D49" i="4"/>
  <c r="J49" i="4" s="1"/>
  <c r="C49" i="4"/>
  <c r="V48" i="4"/>
  <c r="S48" i="4"/>
  <c r="P48" i="4"/>
  <c r="M48" i="4"/>
  <c r="C48" i="4"/>
  <c r="D48" i="4" s="1"/>
  <c r="J48" i="4" s="1"/>
  <c r="V47" i="4"/>
  <c r="S47" i="4"/>
  <c r="P47" i="4"/>
  <c r="M47" i="4"/>
  <c r="C47" i="4"/>
  <c r="D47" i="4" s="1"/>
  <c r="J47" i="4" s="1"/>
  <c r="V46" i="4"/>
  <c r="S46" i="4"/>
  <c r="P46" i="4"/>
  <c r="M46" i="4"/>
  <c r="C46" i="4"/>
  <c r="D46" i="4" s="1"/>
  <c r="J46" i="4" s="1"/>
  <c r="V45" i="4"/>
  <c r="S45" i="4"/>
  <c r="P45" i="4"/>
  <c r="M45" i="4"/>
  <c r="C45" i="4"/>
  <c r="D45" i="4" s="1"/>
  <c r="J45" i="4" s="1"/>
  <c r="Q18" i="4"/>
  <c r="R18" i="4" s="1"/>
  <c r="K18" i="4"/>
  <c r="L18" i="4" s="1"/>
  <c r="E18" i="4"/>
  <c r="F18" i="4" s="1"/>
  <c r="Q17" i="4"/>
  <c r="R17" i="4" s="1"/>
  <c r="K17" i="4"/>
  <c r="L17" i="4" s="1"/>
  <c r="E17" i="4"/>
  <c r="F17" i="4" s="1"/>
  <c r="Q16" i="4"/>
  <c r="R16" i="4" s="1"/>
  <c r="K16" i="4"/>
  <c r="L16" i="4" s="1"/>
  <c r="E16" i="4"/>
  <c r="F16" i="4" s="1"/>
  <c r="R15" i="4"/>
  <c r="Q15" i="4"/>
  <c r="K15" i="4"/>
  <c r="L15" i="4" s="1"/>
  <c r="E15" i="4"/>
  <c r="F15" i="4" s="1"/>
  <c r="Q14" i="4"/>
  <c r="R14" i="4" s="1"/>
  <c r="K14" i="4"/>
  <c r="L14" i="4" s="1"/>
  <c r="E14" i="4"/>
  <c r="F14" i="4" s="1"/>
  <c r="Q13" i="4"/>
  <c r="R13" i="4" s="1"/>
  <c r="K13" i="4"/>
  <c r="L13" i="4" s="1"/>
  <c r="E13" i="4"/>
  <c r="F13" i="4" s="1"/>
  <c r="Q12" i="4"/>
  <c r="R12" i="4" s="1"/>
  <c r="K12" i="4"/>
  <c r="L12" i="4" s="1"/>
  <c r="E12" i="4"/>
  <c r="F12" i="4" s="1"/>
  <c r="R11" i="4"/>
  <c r="Q11" i="4"/>
  <c r="K11" i="4"/>
  <c r="L11" i="4" s="1"/>
  <c r="E11" i="4"/>
  <c r="F11" i="4" s="1"/>
  <c r="Q10" i="4"/>
  <c r="R10" i="4" s="1"/>
  <c r="K10" i="4"/>
  <c r="L10" i="4" s="1"/>
  <c r="E10" i="4"/>
  <c r="F10" i="4" s="1"/>
  <c r="Q9" i="4"/>
  <c r="R9" i="4" s="1"/>
  <c r="K9" i="4"/>
  <c r="L9" i="4" s="1"/>
  <c r="F9" i="4"/>
  <c r="E9" i="4"/>
  <c r="Q8" i="4"/>
  <c r="R8" i="4" s="1"/>
  <c r="K8" i="4"/>
  <c r="L8" i="4" s="1"/>
  <c r="E8" i="4"/>
  <c r="F8" i="4" s="1"/>
  <c r="Q7" i="4"/>
  <c r="R7" i="4" s="1"/>
  <c r="K7" i="4"/>
  <c r="L7" i="4" s="1"/>
  <c r="E7" i="4"/>
  <c r="F7" i="4" s="1"/>
  <c r="Q6" i="4"/>
  <c r="R6" i="4" s="1"/>
  <c r="K6" i="4"/>
  <c r="L6" i="4" s="1"/>
  <c r="E6" i="4"/>
  <c r="F6" i="4" s="1"/>
  <c r="Q5" i="4"/>
  <c r="R5" i="4" s="1"/>
  <c r="K5" i="4"/>
  <c r="L5" i="4" s="1"/>
  <c r="E5" i="4"/>
  <c r="F5" i="4" s="1"/>
  <c r="Q4" i="4"/>
  <c r="R4" i="4" s="1"/>
  <c r="K4" i="4"/>
  <c r="L4" i="4" s="1"/>
  <c r="E4" i="4"/>
  <c r="F4" i="4" s="1"/>
  <c r="C41" i="3"/>
  <c r="F41" i="3" s="1"/>
  <c r="G41" i="3" s="1"/>
  <c r="I41" i="3" s="1"/>
  <c r="J41" i="3" s="1"/>
  <c r="F40" i="3"/>
  <c r="G40" i="3" s="1"/>
  <c r="I40" i="3" s="1"/>
  <c r="J40" i="3" s="1"/>
  <c r="C40" i="3"/>
  <c r="C39" i="3"/>
  <c r="F39" i="3" s="1"/>
  <c r="G39" i="3" s="1"/>
  <c r="I39" i="3" s="1"/>
  <c r="J39" i="3" s="1"/>
  <c r="C38" i="3"/>
  <c r="F38" i="3" s="1"/>
  <c r="G38" i="3" s="1"/>
  <c r="I38" i="3" s="1"/>
  <c r="J38" i="3" s="1"/>
  <c r="C37" i="3"/>
  <c r="F37" i="3" s="1"/>
  <c r="G37" i="3" s="1"/>
  <c r="I37" i="3" s="1"/>
  <c r="J37" i="3" s="1"/>
  <c r="C36" i="3"/>
  <c r="F36" i="3" s="1"/>
  <c r="G36" i="3" s="1"/>
  <c r="I36" i="3" s="1"/>
  <c r="J36" i="3" s="1"/>
  <c r="C35" i="3"/>
  <c r="F35" i="3" s="1"/>
  <c r="G35" i="3" s="1"/>
  <c r="I35" i="3" s="1"/>
  <c r="J35" i="3" s="1"/>
  <c r="C34" i="3"/>
  <c r="F34" i="3" s="1"/>
  <c r="G34" i="3" s="1"/>
  <c r="I34" i="3" s="1"/>
  <c r="J34" i="3" s="1"/>
  <c r="C33" i="3"/>
  <c r="F33" i="3" s="1"/>
  <c r="G33" i="3" s="1"/>
  <c r="I33" i="3" s="1"/>
  <c r="J33" i="3" s="1"/>
  <c r="F32" i="3"/>
  <c r="G32" i="3" s="1"/>
  <c r="I32" i="3" s="1"/>
  <c r="J32" i="3" s="1"/>
  <c r="C32" i="3"/>
  <c r="C31" i="3"/>
  <c r="F31" i="3" s="1"/>
  <c r="G31" i="3" s="1"/>
  <c r="I31" i="3" s="1"/>
  <c r="J31" i="3" s="1"/>
  <c r="C30" i="3"/>
  <c r="F30" i="3" s="1"/>
  <c r="G30" i="3" s="1"/>
  <c r="I30" i="3" s="1"/>
  <c r="J30" i="3" s="1"/>
  <c r="F24" i="3"/>
  <c r="G24" i="3" s="1"/>
  <c r="I24" i="3" s="1"/>
  <c r="J24" i="3" s="1"/>
  <c r="C24" i="3"/>
  <c r="C23" i="3"/>
  <c r="F23" i="3" s="1"/>
  <c r="G23" i="3" s="1"/>
  <c r="I23" i="3" s="1"/>
  <c r="J23" i="3" s="1"/>
  <c r="C22" i="3"/>
  <c r="F22" i="3" s="1"/>
  <c r="G22" i="3" s="1"/>
  <c r="I22" i="3" s="1"/>
  <c r="J22" i="3" s="1"/>
  <c r="C21" i="3"/>
  <c r="F21" i="3" s="1"/>
  <c r="G21" i="3" s="1"/>
  <c r="I21" i="3" s="1"/>
  <c r="J21" i="3" s="1"/>
  <c r="C20" i="3"/>
  <c r="F20" i="3" s="1"/>
  <c r="G20" i="3" s="1"/>
  <c r="I20" i="3" s="1"/>
  <c r="J20" i="3" s="1"/>
  <c r="C19" i="3"/>
  <c r="F19" i="3" s="1"/>
  <c r="G19" i="3" s="1"/>
  <c r="I19" i="3" s="1"/>
  <c r="J19" i="3" s="1"/>
  <c r="C18" i="3"/>
  <c r="F18" i="3" s="1"/>
  <c r="G18" i="3" s="1"/>
  <c r="I18" i="3" s="1"/>
  <c r="J18" i="3" s="1"/>
  <c r="C17" i="3"/>
  <c r="F17" i="3" s="1"/>
  <c r="G17" i="3" s="1"/>
  <c r="I17" i="3" s="1"/>
  <c r="J17" i="3" s="1"/>
  <c r="C16" i="3"/>
  <c r="F16" i="3" s="1"/>
  <c r="G16" i="3" s="1"/>
  <c r="I16" i="3" s="1"/>
  <c r="J16" i="3" s="1"/>
  <c r="C15" i="3"/>
  <c r="F15" i="3" s="1"/>
  <c r="G15" i="3" s="1"/>
  <c r="I15" i="3" s="1"/>
  <c r="J15" i="3" s="1"/>
  <c r="C9" i="3"/>
  <c r="F9" i="3" s="1"/>
  <c r="G9" i="3" s="1"/>
  <c r="I9" i="3" s="1"/>
  <c r="J9" i="3" s="1"/>
  <c r="C8" i="3"/>
  <c r="F8" i="3" s="1"/>
  <c r="G8" i="3" s="1"/>
  <c r="I8" i="3" s="1"/>
  <c r="J8" i="3" s="1"/>
  <c r="C7" i="3"/>
  <c r="F7" i="3" s="1"/>
  <c r="G7" i="3" s="1"/>
  <c r="I7" i="3" s="1"/>
  <c r="J7" i="3" s="1"/>
  <c r="F6" i="3"/>
  <c r="G6" i="3" s="1"/>
  <c r="I6" i="3" s="1"/>
  <c r="J6" i="3" s="1"/>
  <c r="C6" i="3"/>
  <c r="C5" i="3"/>
  <c r="F5" i="3" s="1"/>
  <c r="G5" i="3" s="1"/>
  <c r="I5" i="3" s="1"/>
  <c r="J5" i="3" s="1"/>
  <c r="C4" i="3"/>
  <c r="F4" i="3" s="1"/>
  <c r="G4" i="3" s="1"/>
  <c r="I4" i="3" s="1"/>
  <c r="J4" i="3" s="1"/>
  <c r="E268" i="2"/>
  <c r="E267" i="2"/>
  <c r="E266" i="2"/>
  <c r="J264" i="2"/>
  <c r="J263" i="2"/>
  <c r="J262" i="2"/>
  <c r="J261" i="2"/>
  <c r="J260" i="2"/>
  <c r="J259" i="2"/>
  <c r="J258" i="2"/>
  <c r="G257" i="2"/>
  <c r="I257" i="2" s="1"/>
  <c r="J257" i="2"/>
  <c r="J256" i="2"/>
  <c r="G256" i="2"/>
  <c r="I256" i="2" s="1"/>
  <c r="J254" i="2"/>
  <c r="G253" i="2"/>
  <c r="I253" i="2" s="1"/>
  <c r="J252" i="2"/>
  <c r="J251" i="2"/>
  <c r="J250" i="2"/>
  <c r="E246" i="2"/>
  <c r="E245" i="2"/>
  <c r="E244" i="2"/>
  <c r="J242" i="2"/>
  <c r="B242" i="2"/>
  <c r="J241" i="2"/>
  <c r="B241" i="2"/>
  <c r="J240" i="2"/>
  <c r="B240" i="2"/>
  <c r="J239" i="2"/>
  <c r="J238" i="2"/>
  <c r="J237" i="2"/>
  <c r="J236" i="2"/>
  <c r="J235" i="2"/>
  <c r="J233" i="2"/>
  <c r="J230" i="2"/>
  <c r="J229" i="2"/>
  <c r="J228" i="2"/>
  <c r="E224" i="2"/>
  <c r="E223" i="2"/>
  <c r="E222" i="2"/>
  <c r="J220" i="2"/>
  <c r="B220" i="2"/>
  <c r="J219" i="2"/>
  <c r="B219" i="2"/>
  <c r="J218" i="2"/>
  <c r="B218" i="2"/>
  <c r="J217" i="2"/>
  <c r="J216" i="2"/>
  <c r="J215" i="2"/>
  <c r="J214" i="2"/>
  <c r="J212" i="2"/>
  <c r="J210" i="2"/>
  <c r="J209" i="2"/>
  <c r="J208" i="2"/>
  <c r="J206" i="2"/>
  <c r="J198" i="2"/>
  <c r="B198" i="2"/>
  <c r="J197" i="2"/>
  <c r="B197" i="2"/>
  <c r="J196" i="2"/>
  <c r="B196" i="2"/>
  <c r="J195" i="2"/>
  <c r="J194" i="2"/>
  <c r="J193" i="2"/>
  <c r="J192" i="2"/>
  <c r="J189" i="2"/>
  <c r="J188" i="2"/>
  <c r="J186" i="2"/>
  <c r="J185" i="2"/>
  <c r="J176" i="2"/>
  <c r="B176" i="2"/>
  <c r="J175" i="2"/>
  <c r="B175" i="2"/>
  <c r="J174" i="2"/>
  <c r="B174" i="2"/>
  <c r="J173" i="2"/>
  <c r="J172" i="2"/>
  <c r="J171" i="2"/>
  <c r="J170" i="2"/>
  <c r="J169" i="2"/>
  <c r="J167" i="2"/>
  <c r="J166" i="2"/>
  <c r="J164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H150" i="2"/>
  <c r="J150" i="2" s="1"/>
  <c r="G150" i="2"/>
  <c r="I150" i="2" s="1"/>
  <c r="H149" i="2"/>
  <c r="J149" i="2" s="1"/>
  <c r="G149" i="2"/>
  <c r="I149" i="2" s="1"/>
  <c r="H148" i="2"/>
  <c r="J148" i="2" s="1"/>
  <c r="G148" i="2"/>
  <c r="I148" i="2" s="1"/>
  <c r="H147" i="2"/>
  <c r="J147" i="2" s="1"/>
  <c r="G147" i="2"/>
  <c r="I147" i="2" s="1"/>
  <c r="H146" i="2"/>
  <c r="J146" i="2" s="1"/>
  <c r="G146" i="2"/>
  <c r="I146" i="2" s="1"/>
  <c r="H145" i="2"/>
  <c r="J145" i="2" s="1"/>
  <c r="H144" i="2"/>
  <c r="J144" i="2" s="1"/>
  <c r="H143" i="2"/>
  <c r="J143" i="2" s="1"/>
  <c r="H142" i="2"/>
  <c r="J142" i="2" s="1"/>
  <c r="J134" i="2"/>
  <c r="B134" i="2"/>
  <c r="J133" i="2"/>
  <c r="B133" i="2"/>
  <c r="J132" i="2"/>
  <c r="B132" i="2"/>
  <c r="J131" i="2"/>
  <c r="J130" i="2"/>
  <c r="J129" i="2"/>
  <c r="J128" i="2"/>
  <c r="J126" i="2"/>
  <c r="J125" i="2"/>
  <c r="J124" i="2"/>
  <c r="J123" i="2"/>
  <c r="J120" i="2"/>
  <c r="J112" i="2"/>
  <c r="B112" i="2"/>
  <c r="J111" i="2"/>
  <c r="B111" i="2"/>
  <c r="J110" i="2"/>
  <c r="B110" i="2"/>
  <c r="J109" i="2"/>
  <c r="J108" i="2"/>
  <c r="J107" i="2"/>
  <c r="J106" i="2"/>
  <c r="J104" i="2"/>
  <c r="J103" i="2"/>
  <c r="J102" i="2"/>
  <c r="J101" i="2"/>
  <c r="J100" i="2"/>
  <c r="J90" i="2"/>
  <c r="B90" i="2"/>
  <c r="J89" i="2"/>
  <c r="B89" i="2"/>
  <c r="J88" i="2"/>
  <c r="B88" i="2"/>
  <c r="J87" i="2"/>
  <c r="J86" i="2"/>
  <c r="J85" i="2"/>
  <c r="J84" i="2"/>
  <c r="J81" i="2"/>
  <c r="J80" i="2"/>
  <c r="J78" i="2"/>
  <c r="J77" i="2"/>
  <c r="J68" i="2"/>
  <c r="B68" i="2"/>
  <c r="J67" i="2"/>
  <c r="B67" i="2"/>
  <c r="J66" i="2"/>
  <c r="B66" i="2"/>
  <c r="J65" i="2"/>
  <c r="J64" i="2"/>
  <c r="J63" i="2"/>
  <c r="J62" i="2"/>
  <c r="J61" i="2"/>
  <c r="J59" i="2"/>
  <c r="J56" i="2"/>
  <c r="J55" i="2"/>
  <c r="J54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D29" i="1"/>
  <c r="D22" i="1"/>
  <c r="D20" i="1"/>
  <c r="J245" i="2" l="1"/>
  <c r="I155" i="2"/>
  <c r="J157" i="2" s="1"/>
  <c r="I265" i="2"/>
  <c r="J267" i="2" s="1"/>
  <c r="J223" i="2"/>
  <c r="J213" i="2"/>
  <c r="J127" i="2"/>
  <c r="J83" i="2"/>
  <c r="J105" i="2"/>
  <c r="J191" i="2"/>
  <c r="J82" i="2"/>
  <c r="J60" i="2"/>
  <c r="J168" i="2"/>
  <c r="J234" i="2"/>
  <c r="J190" i="2"/>
  <c r="J211" i="2"/>
  <c r="J255" i="2"/>
  <c r="J58" i="2"/>
  <c r="J232" i="2"/>
  <c r="J57" i="2"/>
  <c r="J70" i="2" s="1"/>
  <c r="J72" i="2" s="1"/>
  <c r="J231" i="2"/>
  <c r="J79" i="2"/>
  <c r="J187" i="2"/>
  <c r="J165" i="2"/>
  <c r="J253" i="2"/>
  <c r="J266" i="2" s="1"/>
  <c r="J122" i="2"/>
  <c r="J163" i="2"/>
  <c r="J121" i="2"/>
  <c r="J99" i="2"/>
  <c r="J207" i="2"/>
  <c r="J98" i="2"/>
  <c r="J162" i="2"/>
  <c r="J184" i="2"/>
  <c r="J76" i="2"/>
  <c r="J155" i="2"/>
  <c r="J48" i="2"/>
  <c r="I47" i="2"/>
  <c r="J49" i="2" s="1"/>
  <c r="C4" i="2"/>
  <c r="C5" i="2"/>
  <c r="J222" i="2" l="1"/>
  <c r="J224" i="2" s="1"/>
  <c r="J158" i="2"/>
  <c r="J244" i="2"/>
  <c r="J246" i="2" s="1"/>
  <c r="J136" i="2"/>
  <c r="J138" i="2" s="1"/>
  <c r="J92" i="2"/>
  <c r="J94" i="2" s="1"/>
  <c r="J200" i="2"/>
  <c r="J202" i="2" s="1"/>
  <c r="J268" i="2"/>
  <c r="J178" i="2"/>
  <c r="J180" i="2" s="1"/>
  <c r="J114" i="2"/>
  <c r="J116" i="2" s="1"/>
  <c r="J50" i="2"/>
  <c r="D11" i="2"/>
  <c r="M33" i="2" s="1"/>
  <c r="C6" i="2"/>
  <c r="D13" i="2" s="1"/>
  <c r="D12" i="2"/>
  <c r="D14" i="2"/>
  <c r="M102" i="2" s="1"/>
  <c r="C23" i="2"/>
  <c r="M214" i="2" s="1"/>
  <c r="O215" i="2" s="1"/>
  <c r="O217" i="2" s="1"/>
  <c r="C21" i="2"/>
  <c r="M191" i="2" s="1"/>
  <c r="O192" i="2" s="1"/>
  <c r="O194" i="2" s="1"/>
  <c r="C19" i="2"/>
  <c r="M168" i="2" s="1"/>
  <c r="O169" i="2" s="1"/>
  <c r="O171" i="2" s="1"/>
  <c r="D16" i="2"/>
  <c r="M148" i="2" s="1"/>
  <c r="C25" i="2"/>
  <c r="M237" i="2" s="1"/>
  <c r="O238" i="2" s="1"/>
  <c r="O240" i="2" s="1"/>
  <c r="D15" i="2"/>
  <c r="M125" i="2" s="1"/>
  <c r="C27" i="2"/>
  <c r="M260" i="2" s="1"/>
  <c r="O261" i="2" s="1"/>
  <c r="O263" i="2" s="1"/>
  <c r="AB30" i="5" l="1"/>
  <c r="O103" i="2"/>
  <c r="O105" i="2" s="1"/>
  <c r="AB32" i="5"/>
  <c r="O126" i="2"/>
  <c r="O128" i="2" s="1"/>
  <c r="AB24" i="5"/>
  <c r="O34" i="2"/>
  <c r="O36" i="2" s="1"/>
  <c r="M56" i="2"/>
  <c r="O57" i="2" s="1"/>
  <c r="O59" i="2" s="1"/>
  <c r="M79" i="2"/>
  <c r="M80" i="2" s="1"/>
  <c r="M84" i="2" s="1"/>
  <c r="D34" i="1"/>
  <c r="M153" i="2"/>
  <c r="M149" i="2"/>
  <c r="M152" i="2" s="1"/>
  <c r="M169" i="2"/>
  <c r="M173" i="2" s="1"/>
  <c r="M192" i="2"/>
  <c r="M196" i="2" s="1"/>
  <c r="M215" i="2"/>
  <c r="M219" i="2" s="1"/>
  <c r="M103" i="2"/>
  <c r="M107" i="2" s="1"/>
  <c r="M261" i="2"/>
  <c r="M265" i="2" s="1"/>
  <c r="M126" i="2"/>
  <c r="M130" i="2" s="1"/>
  <c r="M238" i="2"/>
  <c r="M242" i="2" s="1"/>
  <c r="M34" i="2"/>
  <c r="M38" i="2" s="1"/>
  <c r="AB28" i="5" l="1"/>
  <c r="O80" i="2"/>
  <c r="O82" i="2" s="1"/>
  <c r="M57" i="2"/>
  <c r="M61" i="2" s="1"/>
  <c r="M63" i="2" s="1"/>
  <c r="D18" i="1" s="1"/>
  <c r="AB26" i="5"/>
  <c r="F34" i="1"/>
  <c r="AB36" i="5"/>
  <c r="M267" i="2"/>
  <c r="D27" i="1" s="1"/>
  <c r="M198" i="2"/>
  <c r="D24" i="1" s="1"/>
  <c r="M132" i="2"/>
  <c r="M109" i="2"/>
  <c r="D21" i="1" s="1"/>
  <c r="M86" i="2"/>
  <c r="D19" i="1" s="1"/>
  <c r="M40" i="2"/>
  <c r="D17" i="1" s="1"/>
  <c r="M154" i="2"/>
  <c r="M244" i="2"/>
  <c r="D26" i="1" s="1"/>
  <c r="M221" i="2"/>
  <c r="D25" i="1" s="1"/>
  <c r="M175" i="2"/>
  <c r="D23" i="1" s="1"/>
  <c r="D67" i="1" l="1"/>
  <c r="D69" i="1" s="1"/>
</calcChain>
</file>

<file path=xl/sharedStrings.xml><?xml version="1.0" encoding="utf-8"?>
<sst xmlns="http://schemas.openxmlformats.org/spreadsheetml/2006/main" count="1014" uniqueCount="281">
  <si>
    <t>Tank general information</t>
  </si>
  <si>
    <t>Date:</t>
  </si>
  <si>
    <t>Contact person:</t>
  </si>
  <si>
    <t>Quote number:</t>
  </si>
  <si>
    <t>Telephone:</t>
  </si>
  <si>
    <t>Job title:</t>
  </si>
  <si>
    <t>Purchase Order:</t>
  </si>
  <si>
    <t>Client name:</t>
  </si>
  <si>
    <t xml:space="preserve">Job description </t>
  </si>
  <si>
    <t xml:space="preserve">Cylinder lamination </t>
  </si>
  <si>
    <t>diameter</t>
  </si>
  <si>
    <t>length</t>
  </si>
  <si>
    <t>Volume</t>
  </si>
  <si>
    <t>Ref:</t>
  </si>
  <si>
    <t xml:space="preserve">Description </t>
  </si>
  <si>
    <t>cost</t>
  </si>
  <si>
    <t>A</t>
  </si>
  <si>
    <t>Flat top  QTY</t>
  </si>
  <si>
    <t>B</t>
  </si>
  <si>
    <t>Flat base  QTY</t>
  </si>
  <si>
    <t>C</t>
  </si>
  <si>
    <t>Dome sides/top   QTY</t>
  </si>
  <si>
    <t>D</t>
  </si>
  <si>
    <t>Partitions full inc cross rib  Qty</t>
  </si>
  <si>
    <t>E</t>
  </si>
  <si>
    <t>Partition frame only QTY</t>
  </si>
  <si>
    <t>F</t>
  </si>
  <si>
    <t xml:space="preserve">Outside ribs QTY </t>
  </si>
  <si>
    <t>G</t>
  </si>
  <si>
    <t>joint 1 width external base/top</t>
  </si>
  <si>
    <t>H</t>
  </si>
  <si>
    <t>joint 2 width external dome side/top</t>
  </si>
  <si>
    <t>I</t>
  </si>
  <si>
    <t>joint 3 width internal top/base/side</t>
  </si>
  <si>
    <t>J</t>
  </si>
  <si>
    <t>joint 4 width partitins full/frame</t>
  </si>
  <si>
    <t>K</t>
  </si>
  <si>
    <t>joint 5 width outside ribs</t>
  </si>
  <si>
    <t>L</t>
  </si>
  <si>
    <t>Cylinder material cost</t>
  </si>
  <si>
    <t>M</t>
  </si>
  <si>
    <t xml:space="preserve">Cylinder Man power </t>
  </si>
  <si>
    <t xml:space="preserve">number of people </t>
  </si>
  <si>
    <t>number of hours</t>
  </si>
  <si>
    <t>desc</t>
  </si>
  <si>
    <t>Qty</t>
  </si>
  <si>
    <t xml:space="preserve">Cost each  </t>
  </si>
  <si>
    <t>Cost total</t>
  </si>
  <si>
    <t>Topcoat</t>
  </si>
  <si>
    <t>Aeria</t>
  </si>
  <si>
    <t>legs type</t>
  </si>
  <si>
    <t>bowser type</t>
  </si>
  <si>
    <t>above ground type</t>
  </si>
  <si>
    <t>elephant type</t>
  </si>
  <si>
    <t>Connection type</t>
  </si>
  <si>
    <t>sockets</t>
  </si>
  <si>
    <t>butt-joints</t>
  </si>
  <si>
    <t xml:space="preserve">Flanges </t>
  </si>
  <si>
    <t xml:space="preserve">Manhole type </t>
  </si>
  <si>
    <t>Top manhole Fibre</t>
  </si>
  <si>
    <t>Top manhole SS</t>
  </si>
  <si>
    <t>side Manhole SS</t>
  </si>
  <si>
    <t>Extra options</t>
  </si>
  <si>
    <t>external joint pipe PVC1563</t>
  </si>
  <si>
    <t>Sheet 450/800/450 per Msq</t>
  </si>
  <si>
    <t>Sheet 300/450/450 per Msq</t>
  </si>
  <si>
    <t>Total cost</t>
  </si>
  <si>
    <t xml:space="preserve">Profit rate </t>
  </si>
  <si>
    <t>Selling</t>
  </si>
  <si>
    <t>Final Price</t>
  </si>
  <si>
    <t xml:space="preserve">diameter </t>
  </si>
  <si>
    <t xml:space="preserve">m </t>
  </si>
  <si>
    <t xml:space="preserve">lenght/height of tank </t>
  </si>
  <si>
    <t>m</t>
  </si>
  <si>
    <t>joint lenght</t>
  </si>
  <si>
    <t xml:space="preserve">flat base/top area +0.4 sides </t>
  </si>
  <si>
    <t>msq</t>
  </si>
  <si>
    <t>dome area approx (1.5 flat area)</t>
  </si>
  <si>
    <t>cylinder surface area</t>
  </si>
  <si>
    <t xml:space="preserve">Qty </t>
  </si>
  <si>
    <t>total area</t>
  </si>
  <si>
    <t>Parts General</t>
  </si>
  <si>
    <t>joints General</t>
  </si>
  <si>
    <t>joint 1 area TOTAL</t>
  </si>
  <si>
    <t>joint 2 area TOTAL</t>
  </si>
  <si>
    <t>joint 3 area TOTAL</t>
  </si>
  <si>
    <t>joint 4 area TOTAL</t>
  </si>
  <si>
    <t>joint 5 area TOTAL</t>
  </si>
  <si>
    <t xml:space="preserve"> TOP</t>
  </si>
  <si>
    <t>Layers Ref A</t>
  </si>
  <si>
    <t>Materials</t>
  </si>
  <si>
    <t>number of layers</t>
  </si>
  <si>
    <t>units</t>
  </si>
  <si>
    <r>
      <t xml:space="preserve">cost price </t>
    </r>
    <r>
      <rPr>
        <b/>
        <sz val="10"/>
        <rFont val="Calibri"/>
        <family val="2"/>
      </rPr>
      <t>€</t>
    </r>
  </si>
  <si>
    <t>weight / sqm</t>
  </si>
  <si>
    <t>resin /sqm</t>
  </si>
  <si>
    <t>total mat weight</t>
  </si>
  <si>
    <t>total resin weight</t>
  </si>
  <si>
    <t>cost/sqm</t>
  </si>
  <si>
    <t>Gelcoat 65pa clr</t>
  </si>
  <si>
    <t>per kg</t>
  </si>
  <si>
    <t>N/A</t>
  </si>
  <si>
    <t>Gelcoat 32pa clr (pools)</t>
  </si>
  <si>
    <t>total material sqm</t>
  </si>
  <si>
    <t>Bonding paste</t>
  </si>
  <si>
    <t>contengency material ratio 10%</t>
  </si>
  <si>
    <t>Tissue 30g</t>
  </si>
  <si>
    <t>rate of labor/sqm</t>
  </si>
  <si>
    <t>Mat 300g</t>
  </si>
  <si>
    <t>hourly rate</t>
  </si>
  <si>
    <t>Mat 450g</t>
  </si>
  <si>
    <t>cost of materials</t>
  </si>
  <si>
    <t>W/R 600g</t>
  </si>
  <si>
    <t>cost of labor</t>
  </si>
  <si>
    <t>W/R 800g</t>
  </si>
  <si>
    <t>total cost of work inc 15%</t>
  </si>
  <si>
    <t>Termahex: 10mm</t>
  </si>
  <si>
    <t>Termahex: 20mm</t>
  </si>
  <si>
    <t>Termahex: 28mm</t>
  </si>
  <si>
    <t>Teak veil: f05090</t>
  </si>
  <si>
    <t>total cost of fiber per rmeter</t>
  </si>
  <si>
    <t>Resin TP240</t>
  </si>
  <si>
    <t>Note for direct lining ratio 1.3 use always resin 491 rate</t>
  </si>
  <si>
    <t>Resin 491 pa</t>
  </si>
  <si>
    <t xml:space="preserve">total cost of resin per meter </t>
  </si>
  <si>
    <t>Vynilester V676</t>
  </si>
  <si>
    <t>total cost of material per meter</t>
  </si>
  <si>
    <t>Bottom</t>
  </si>
  <si>
    <t>Layers Reb B</t>
  </si>
  <si>
    <t>Dome</t>
  </si>
  <si>
    <t>Layers ref. C</t>
  </si>
  <si>
    <r>
      <t xml:space="preserve">Full Partition </t>
    </r>
    <r>
      <rPr>
        <sz val="28"/>
        <color theme="1"/>
        <rFont val="Calibri"/>
        <family val="2"/>
        <scheme val="minor"/>
      </rPr>
      <t>inc cross</t>
    </r>
  </si>
  <si>
    <t>Layers Ref D</t>
  </si>
  <si>
    <t>Frame partition</t>
  </si>
  <si>
    <t>Layers  Ref E</t>
  </si>
  <si>
    <t>external ribs</t>
  </si>
  <si>
    <t>Layers Ref F</t>
  </si>
  <si>
    <t>Joint ext. Top/base</t>
  </si>
  <si>
    <t>Layers Ref G</t>
  </si>
  <si>
    <t>Joint ext. dome</t>
  </si>
  <si>
    <t>Layers Ref H</t>
  </si>
  <si>
    <r>
      <t xml:space="preserve">Joint int. </t>
    </r>
    <r>
      <rPr>
        <sz val="24"/>
        <color theme="1"/>
        <rFont val="Calibri"/>
        <family val="2"/>
        <scheme val="minor"/>
      </rPr>
      <t>Top/base/dome</t>
    </r>
  </si>
  <si>
    <t>Layers Ref I</t>
  </si>
  <si>
    <t>Joint partition</t>
  </si>
  <si>
    <t>Layers ref J</t>
  </si>
  <si>
    <t>joint ext. Ribs</t>
  </si>
  <si>
    <t>Layers Ref K</t>
  </si>
  <si>
    <t xml:space="preserve">6 BAR </t>
  </si>
  <si>
    <t>enter diameter in wall thickness row</t>
  </si>
  <si>
    <t>cylinder lenght</t>
  </si>
  <si>
    <t>cir</t>
  </si>
  <si>
    <t>wall thickness</t>
  </si>
  <si>
    <t>wight index</t>
  </si>
  <si>
    <t>weight ratio</t>
  </si>
  <si>
    <t>10%margin of weight</t>
  </si>
  <si>
    <t>Cost /KG</t>
  </si>
  <si>
    <t>cost per m run</t>
  </si>
  <si>
    <t>total cost og cylinder</t>
  </si>
  <si>
    <t xml:space="preserve">10 BAR </t>
  </si>
  <si>
    <t>Choose Diameter</t>
  </si>
  <si>
    <t>Enter Rate of Material</t>
  </si>
  <si>
    <t xml:space="preserve">16 BAR </t>
  </si>
  <si>
    <t xml:space="preserve">Calculation of tichness to weight ratio  according to Vetroresina page. </t>
  </si>
  <si>
    <t>diameter as per schedule vetro resina</t>
  </si>
  <si>
    <t>weight KG/m</t>
  </si>
  <si>
    <t>circumference as per schedule vetro resina</t>
  </si>
  <si>
    <t>weight /msq</t>
  </si>
  <si>
    <t>Vetro Resina index</t>
  </si>
  <si>
    <t xml:space="preserve">Cost rate of material </t>
  </si>
  <si>
    <t>Diameter in M</t>
  </si>
  <si>
    <t>Isophtalic</t>
  </si>
  <si>
    <t>flat /basebase surface areas</t>
  </si>
  <si>
    <t>dome surcace areas</t>
  </si>
  <si>
    <t>full internal partition</t>
  </si>
  <si>
    <t xml:space="preserve">ribbed internal partition </t>
  </si>
  <si>
    <t xml:space="preserve">ribbed external partition </t>
  </si>
  <si>
    <t xml:space="preserve">standard joint </t>
  </si>
  <si>
    <t>dome joint</t>
  </si>
  <si>
    <t>dia</t>
  </si>
  <si>
    <t>sides allowance</t>
  </si>
  <si>
    <t>surface area</t>
  </si>
  <si>
    <t xml:space="preserve">calculated </t>
  </si>
  <si>
    <t xml:space="preserve">surface area </t>
  </si>
  <si>
    <t>Quote No.</t>
  </si>
  <si>
    <t>Job Card General Information</t>
  </si>
  <si>
    <t>Job No.</t>
  </si>
  <si>
    <t>Job title</t>
  </si>
  <si>
    <t>Start Date</t>
  </si>
  <si>
    <t>PO ref</t>
  </si>
  <si>
    <t>Drawing attached       YES   /   No</t>
  </si>
  <si>
    <t>Yes</t>
  </si>
  <si>
    <t>No</t>
  </si>
  <si>
    <t>Job Ref</t>
  </si>
  <si>
    <t>Layers</t>
  </si>
  <si>
    <t>Gel Ct</t>
  </si>
  <si>
    <t>©this document is property of Silvercraft Products Ltd, all rights reserved           Document Ref: SCP - OP - 001 Rev. C</t>
  </si>
  <si>
    <t>Silvercraft Products Ltd</t>
  </si>
  <si>
    <t>Tel: (+356) 21898046, 21821975</t>
  </si>
  <si>
    <t>MRA 018A, Marsa Industrial Estate,</t>
  </si>
  <si>
    <t>Web: www.silvercraftltd.com</t>
  </si>
  <si>
    <t>Marsa  MRS 3000, Malta</t>
  </si>
  <si>
    <t>Email: info@silvercraftltd.com</t>
  </si>
  <si>
    <t>VAT No:  MT 1166-6726</t>
  </si>
  <si>
    <t>Customer Order Form</t>
  </si>
  <si>
    <t>Order Ref:</t>
  </si>
  <si>
    <t>Company:</t>
  </si>
  <si>
    <t>Address:</t>
  </si>
  <si>
    <t>Quote:</t>
  </si>
  <si>
    <t>VAT Reg. No:</t>
  </si>
  <si>
    <t>Part No:</t>
  </si>
  <si>
    <t>Description:</t>
  </si>
  <si>
    <t>Rate:</t>
  </si>
  <si>
    <t>Qty:</t>
  </si>
  <si>
    <t>Subtotal:</t>
  </si>
  <si>
    <t>Tax:</t>
  </si>
  <si>
    <t>Sub-total:</t>
  </si>
  <si>
    <t>VAT:</t>
  </si>
  <si>
    <t>Total including VAT:</t>
  </si>
  <si>
    <t>Additional remarks:</t>
  </si>
  <si>
    <t>Payment terms:</t>
  </si>
  <si>
    <t>30% deposit, 70% balance on collection</t>
  </si>
  <si>
    <t>Delivery terms:</t>
  </si>
  <si>
    <t>Collection by client</t>
  </si>
  <si>
    <t>Deposit paid:</t>
  </si>
  <si>
    <t>€900 paid on 22/04/2019 via cheque BOV 4555</t>
  </si>
  <si>
    <t>Ordered By</t>
  </si>
  <si>
    <t>Quotation</t>
  </si>
  <si>
    <t>Customer:</t>
  </si>
  <si>
    <t>Quote is valid for 30 days, subject to confirmation of specifications on site with client.</t>
  </si>
  <si>
    <t>Should you require any further clarifications please do not hesitate to contact us.</t>
  </si>
  <si>
    <t>With compliments</t>
  </si>
  <si>
    <t>Contact Number:</t>
  </si>
  <si>
    <t>Email</t>
  </si>
  <si>
    <t>Further Notes</t>
  </si>
  <si>
    <t>0</t>
  </si>
  <si>
    <t>MP</t>
  </si>
  <si>
    <t>DAYs</t>
  </si>
  <si>
    <t>cylinder laminantion</t>
  </si>
  <si>
    <t>Flat Top</t>
  </si>
  <si>
    <t>Flat Bottom</t>
  </si>
  <si>
    <t>Tank Diameter</t>
  </si>
  <si>
    <t>Tank Height</t>
  </si>
  <si>
    <t>Internal Part Full</t>
  </si>
  <si>
    <t>Internal Part Rims</t>
  </si>
  <si>
    <t>External Partition</t>
  </si>
  <si>
    <t>Manhole Type</t>
  </si>
  <si>
    <t>Leg Type</t>
  </si>
  <si>
    <t>total mat weight/msq</t>
  </si>
  <si>
    <t>total resin weight/msq</t>
  </si>
  <si>
    <t>total cost of fibre</t>
  </si>
  <si>
    <t>TC</t>
  </si>
  <si>
    <t>NA</t>
  </si>
  <si>
    <t>Manufacturing days (8hr)</t>
  </si>
  <si>
    <t>MP indicative Calculator</t>
  </si>
  <si>
    <t>total product weight</t>
  </si>
  <si>
    <t>50kg of material per person per day</t>
  </si>
  <si>
    <t>Number of MP days</t>
  </si>
  <si>
    <t>bowser steel works each legs</t>
  </si>
  <si>
    <t>General Info</t>
  </si>
  <si>
    <t>Parts Cal</t>
  </si>
  <si>
    <t>Cylinder Cal</t>
  </si>
  <si>
    <t>Vetro Resina</t>
  </si>
  <si>
    <t>Job Card</t>
  </si>
  <si>
    <t>Order</t>
  </si>
  <si>
    <t>Formal Order</t>
  </si>
  <si>
    <t>PW</t>
  </si>
  <si>
    <t>a1</t>
  </si>
  <si>
    <t>a2</t>
  </si>
  <si>
    <t>a3</t>
  </si>
  <si>
    <t>a4</t>
  </si>
  <si>
    <t>a5</t>
  </si>
  <si>
    <t>a8</t>
  </si>
  <si>
    <t>Part Number</t>
  </si>
  <si>
    <t>Desc</t>
  </si>
  <si>
    <t>Unit</t>
  </si>
  <si>
    <t>Cost</t>
  </si>
  <si>
    <t>Sell</t>
  </si>
  <si>
    <t xml:space="preserve">PASTE PART NUMBER HERE </t>
  </si>
  <si>
    <t>0000</t>
  </si>
  <si>
    <t xml:space="preserve"> </t>
  </si>
  <si>
    <t>costs in this column to be added to total costs  C67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</si>
</sst>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€-43A]#,##0.00"/>
    <numFmt numFmtId="166" formatCode="General;;"/>
    <numFmt numFmtId="167" formatCode="dd/mm/yyyy;@"/>
    <numFmt numFmtId="168" formatCode="&quot;€&quot;#,##0.00"/>
  </numFmts>
  <fonts count="41" x14ac:knownFonts="1">
    <font>
      <sz val="11"/>
      <color theme="1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28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</font>
    <font>
      <sz val="12"/>
      <name val="Sylfaen"/>
      <family val="1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Sylfaen"/>
      <family val="1"/>
    </font>
    <font>
      <sz val="11"/>
      <name val="Sylfaen"/>
      <family val="1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2"/>
      <name val="Calibri"/>
      <family val="2"/>
      <scheme val="minor"/>
    </font>
    <font>
      <sz val="12"/>
      <name val="Calibri"/>
      <family val="2"/>
    </font>
    <font>
      <sz val="16"/>
      <color theme="1"/>
      <name val="Bradley Hand ITC"/>
      <family val="4"/>
    </font>
    <font>
      <sz val="14"/>
      <color theme="1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9"/>
      <color indexed="8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65">
    <xf numFmtId="0" fontId="0" fillId="0" borderId="0" xfId="0"/>
    <xf numFmtId="0" fontId="4" fillId="5" borderId="2" xfId="0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Protection="1">
      <protection locked="0"/>
    </xf>
    <xf numFmtId="0" fontId="0" fillId="0" borderId="0" xfId="0" applyAlignment="1">
      <alignment wrapText="1"/>
    </xf>
    <xf numFmtId="1" fontId="0" fillId="6" borderId="2" xfId="0" applyNumberFormat="1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29" xfId="0" applyFill="1" applyBorder="1" applyAlignment="1" applyProtection="1">
      <alignment horizontal="center" vertical="center" wrapText="1"/>
      <protection locked="0"/>
    </xf>
    <xf numFmtId="0" fontId="0" fillId="6" borderId="33" xfId="0" applyFill="1" applyBorder="1" applyAlignment="1" applyProtection="1">
      <alignment horizontal="center" vertical="center" wrapText="1"/>
      <protection locked="0"/>
    </xf>
    <xf numFmtId="0" fontId="0" fillId="6" borderId="37" xfId="0" applyFill="1" applyBorder="1" applyAlignment="1" applyProtection="1">
      <alignment horizontal="center" vertical="center" wrapText="1"/>
      <protection locked="0"/>
    </xf>
    <xf numFmtId="0" fontId="0" fillId="6" borderId="36" xfId="0" applyFill="1" applyBorder="1" applyAlignment="1" applyProtection="1">
      <alignment wrapText="1"/>
      <protection locked="0"/>
    </xf>
    <xf numFmtId="0" fontId="0" fillId="6" borderId="40" xfId="0" applyFill="1" applyBorder="1" applyAlignment="1" applyProtection="1">
      <alignment horizontal="center" vertical="center" wrapText="1"/>
      <protection locked="0"/>
    </xf>
    <xf numFmtId="0" fontId="5" fillId="6" borderId="37" xfId="0" applyFont="1" applyFill="1" applyBorder="1" applyAlignment="1" applyProtection="1">
      <alignment horizontal="center" vertical="center" wrapText="1"/>
      <protection locked="0"/>
    </xf>
    <xf numFmtId="0" fontId="5" fillId="6" borderId="50" xfId="0" applyFont="1" applyFill="1" applyBorder="1" applyAlignment="1" applyProtection="1">
      <alignment horizontal="center" vertical="center" wrapText="1"/>
      <protection locked="0"/>
    </xf>
    <xf numFmtId="0" fontId="6" fillId="6" borderId="37" xfId="0" applyFont="1" applyFill="1" applyBorder="1" applyAlignment="1" applyProtection="1">
      <alignment horizontal="center" vertical="center" wrapText="1"/>
      <protection locked="0"/>
    </xf>
    <xf numFmtId="0" fontId="0" fillId="6" borderId="50" xfId="0" applyFill="1" applyBorder="1" applyAlignment="1" applyProtection="1">
      <alignment horizontal="center" vertical="center" wrapText="1"/>
      <protection locked="0"/>
    </xf>
    <xf numFmtId="0" fontId="0" fillId="9" borderId="2" xfId="0" applyFill="1" applyBorder="1" applyAlignment="1" applyProtection="1">
      <alignment horizontal="center" vertical="center"/>
      <protection locked="0"/>
    </xf>
    <xf numFmtId="0" fontId="0" fillId="9" borderId="2" xfId="0" applyFill="1" applyBorder="1" applyProtection="1">
      <protection locked="0"/>
    </xf>
    <xf numFmtId="0" fontId="3" fillId="4" borderId="1" xfId="3" applyAlignment="1">
      <alignment wrapText="1"/>
    </xf>
    <xf numFmtId="0" fontId="3" fillId="4" borderId="66" xfId="3" applyBorder="1"/>
    <xf numFmtId="0" fontId="3" fillId="4" borderId="66" xfId="3" applyBorder="1" applyAlignment="1">
      <alignment wrapText="1"/>
    </xf>
    <xf numFmtId="0" fontId="3" fillId="4" borderId="64" xfId="3" applyBorder="1" applyAlignment="1">
      <alignment wrapText="1"/>
    </xf>
    <xf numFmtId="0" fontId="3" fillId="4" borderId="64" xfId="3" applyBorder="1"/>
    <xf numFmtId="0" fontId="0" fillId="0" borderId="2" xfId="0" applyFill="1" applyBorder="1"/>
    <xf numFmtId="2" fontId="2" fillId="3" borderId="2" xfId="2" applyNumberFormat="1" applyBorder="1" applyAlignment="1">
      <alignment horizontal="center" vertical="center"/>
    </xf>
    <xf numFmtId="0" fontId="0" fillId="0" borderId="2" xfId="0" applyBorder="1"/>
    <xf numFmtId="0" fontId="3" fillId="4" borderId="1" xfId="3" applyAlignment="1">
      <alignment horizontal="center" vertical="center" wrapText="1"/>
    </xf>
    <xf numFmtId="0" fontId="7" fillId="4" borderId="66" xfId="3" applyFont="1" applyBorder="1" applyAlignment="1">
      <alignment horizontal="center" vertical="center" wrapText="1"/>
    </xf>
    <xf numFmtId="0" fontId="3" fillId="4" borderId="66" xfId="3" applyBorder="1" applyAlignment="1">
      <alignment horizontal="center" vertical="center" wrapText="1"/>
    </xf>
    <xf numFmtId="0" fontId="0" fillId="0" borderId="35" xfId="0" applyBorder="1"/>
    <xf numFmtId="0" fontId="0" fillId="0" borderId="61" xfId="0" applyBorder="1"/>
    <xf numFmtId="0" fontId="0" fillId="0" borderId="67" xfId="0" applyBorder="1"/>
    <xf numFmtId="0" fontId="0" fillId="0" borderId="27" xfId="0" applyBorder="1"/>
    <xf numFmtId="0" fontId="0" fillId="0" borderId="0" xfId="0" applyBorder="1"/>
    <xf numFmtId="0" fontId="0" fillId="0" borderId="68" xfId="0" applyBorder="1"/>
    <xf numFmtId="0" fontId="3" fillId="4" borderId="1" xfId="3" applyBorder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0" fillId="0" borderId="38" xfId="0" applyBorder="1"/>
    <xf numFmtId="0" fontId="0" fillId="0" borderId="53" xfId="0" applyBorder="1"/>
    <xf numFmtId="0" fontId="0" fillId="0" borderId="63" xfId="0" applyBorder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32" fillId="11" borderId="2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68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 wrapText="1"/>
    </xf>
    <xf numFmtId="168" fontId="31" fillId="0" borderId="0" xfId="0" applyNumberFormat="1" applyFont="1" applyBorder="1" applyAlignment="1">
      <alignment horizontal="center" vertical="center"/>
    </xf>
    <xf numFmtId="168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6" fillId="10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12" borderId="0" xfId="0" applyNumberFormat="1" applyFont="1" applyFill="1" applyAlignment="1">
      <alignment horizontal="left" vertical="center"/>
    </xf>
    <xf numFmtId="0" fontId="6" fillId="0" borderId="4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35" fillId="0" borderId="0" xfId="0" applyFont="1" applyAlignment="1">
      <alignment horizontal="left" indent="4"/>
    </xf>
    <xf numFmtId="0" fontId="36" fillId="0" borderId="0" xfId="0" applyFont="1" applyAlignment="1">
      <alignment horizontal="right"/>
    </xf>
    <xf numFmtId="0" fontId="0" fillId="0" borderId="0" xfId="0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vertical="center" wrapText="1"/>
      <protection locked="0"/>
    </xf>
    <xf numFmtId="0" fontId="5" fillId="6" borderId="4" xfId="0" applyFont="1" applyFill="1" applyBorder="1" applyAlignment="1" applyProtection="1">
      <alignment vertical="center" wrapText="1"/>
      <protection locked="0"/>
    </xf>
    <xf numFmtId="0" fontId="5" fillId="6" borderId="5" xfId="0" applyFont="1" applyFill="1" applyBorder="1" applyAlignment="1" applyProtection="1">
      <alignment vertical="center" wrapText="1"/>
      <protection locked="0"/>
    </xf>
    <xf numFmtId="2" fontId="0" fillId="14" borderId="82" xfId="0" applyNumberFormat="1" applyFill="1" applyBorder="1" applyAlignment="1" applyProtection="1">
      <alignment horizontal="center" vertical="center"/>
    </xf>
    <xf numFmtId="2" fontId="0" fillId="14" borderId="84" xfId="0" applyNumberFormat="1" applyFill="1" applyBorder="1" applyAlignment="1" applyProtection="1">
      <alignment horizontal="center" vertical="center"/>
      <protection locked="0"/>
    </xf>
    <xf numFmtId="2" fontId="38" fillId="15" borderId="85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2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0" fillId="0" borderId="2" xfId="0" applyNumberFormat="1" applyBorder="1" applyAlignment="1" applyProtection="1">
      <alignment horizontal="center" vertical="center" wrapText="1"/>
    </xf>
    <xf numFmtId="1" fontId="0" fillId="0" borderId="2" xfId="0" applyNumberForma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164" fontId="0" fillId="0" borderId="7" xfId="0" applyNumberFormat="1" applyBorder="1" applyAlignment="1" applyProtection="1">
      <alignment horizontal="center" vertical="center"/>
    </xf>
    <xf numFmtId="1" fontId="0" fillId="0" borderId="8" xfId="0" applyNumberForma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 wrapText="1"/>
    </xf>
    <xf numFmtId="0" fontId="0" fillId="0" borderId="18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1" fontId="0" fillId="0" borderId="11" xfId="0" applyNumberForma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1" fontId="0" fillId="8" borderId="21" xfId="0" applyNumberFormat="1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5" fillId="0" borderId="0" xfId="0" applyFont="1" applyFill="1" applyBorder="1" applyAlignment="1" applyProtection="1">
      <alignment wrapText="1"/>
    </xf>
    <xf numFmtId="0" fontId="5" fillId="0" borderId="9" xfId="0" applyFont="1" applyFill="1" applyBorder="1" applyAlignment="1" applyProtection="1">
      <alignment wrapText="1"/>
    </xf>
    <xf numFmtId="0" fontId="0" fillId="0" borderId="11" xfId="0" applyBorder="1" applyAlignment="1" applyProtection="1">
      <alignment wrapText="1"/>
    </xf>
    <xf numFmtId="0" fontId="5" fillId="0" borderId="12" xfId="0" applyFont="1" applyFill="1" applyBorder="1" applyAlignment="1" applyProtection="1">
      <alignment wrapText="1"/>
    </xf>
    <xf numFmtId="0" fontId="0" fillId="0" borderId="13" xfId="0" applyBorder="1" applyAlignment="1" applyProtection="1">
      <alignment wrapText="1"/>
    </xf>
    <xf numFmtId="164" fontId="0" fillId="0" borderId="13" xfId="0" applyNumberFormat="1" applyBorder="1" applyAlignment="1" applyProtection="1">
      <alignment wrapText="1"/>
    </xf>
    <xf numFmtId="0" fontId="5" fillId="0" borderId="14" xfId="0" applyFont="1" applyFill="1" applyBorder="1" applyAlignment="1" applyProtection="1">
      <alignment wrapText="1"/>
    </xf>
    <xf numFmtId="164" fontId="0" fillId="0" borderId="16" xfId="0" applyNumberFormat="1" applyBorder="1" applyAlignment="1" applyProtection="1">
      <alignment wrapText="1"/>
    </xf>
    <xf numFmtId="164" fontId="0" fillId="0" borderId="0" xfId="0" applyNumberFormat="1" applyAlignment="1" applyProtection="1">
      <alignment wrapText="1"/>
    </xf>
    <xf numFmtId="0" fontId="0" fillId="0" borderId="2" xfId="0" applyBorder="1" applyAlignment="1" applyProtection="1">
      <alignment wrapText="1"/>
    </xf>
    <xf numFmtId="0" fontId="5" fillId="0" borderId="2" xfId="0" applyFont="1" applyFill="1" applyBorder="1" applyAlignment="1" applyProtection="1">
      <alignment wrapText="1"/>
    </xf>
    <xf numFmtId="164" fontId="0" fillId="0" borderId="2" xfId="0" applyNumberFormat="1" applyBorder="1" applyAlignment="1" applyProtection="1">
      <alignment wrapText="1"/>
    </xf>
    <xf numFmtId="0" fontId="0" fillId="0" borderId="2" xfId="0" applyBorder="1" applyAlignment="1" applyProtection="1">
      <alignment horizontal="center" wrapText="1"/>
    </xf>
    <xf numFmtId="0" fontId="4" fillId="0" borderId="24" xfId="0" applyFont="1" applyBorder="1" applyAlignment="1" applyProtection="1">
      <alignment wrapText="1"/>
    </xf>
    <xf numFmtId="0" fontId="4" fillId="0" borderId="25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wrapText="1"/>
    </xf>
    <xf numFmtId="0" fontId="4" fillId="0" borderId="25" xfId="0" applyFont="1" applyBorder="1" applyAlignment="1" applyProtection="1">
      <alignment horizontal="left" wrapText="1"/>
    </xf>
    <xf numFmtId="0" fontId="4" fillId="0" borderId="26" xfId="0" applyFont="1" applyBorder="1" applyAlignment="1" applyProtection="1">
      <alignment wrapText="1"/>
    </xf>
    <xf numFmtId="0" fontId="4" fillId="0" borderId="25" xfId="0" applyFont="1" applyBorder="1" applyAlignment="1" applyProtection="1">
      <alignment wrapText="1"/>
    </xf>
    <xf numFmtId="0" fontId="5" fillId="0" borderId="28" xfId="0" applyFont="1" applyBorder="1" applyAlignment="1" applyProtection="1">
      <alignment wrapText="1"/>
    </xf>
    <xf numFmtId="0" fontId="0" fillId="6" borderId="29" xfId="0" applyFill="1" applyBorder="1" applyAlignment="1" applyProtection="1">
      <alignment horizontal="center" vertical="center" wrapText="1"/>
    </xf>
    <xf numFmtId="0" fontId="10" fillId="0" borderId="30" xfId="0" applyFont="1" applyBorder="1" applyAlignment="1" applyProtection="1">
      <alignment horizontal="center" wrapText="1"/>
    </xf>
    <xf numFmtId="0" fontId="10" fillId="0" borderId="10" xfId="0" applyFont="1" applyBorder="1" applyAlignment="1" applyProtection="1">
      <alignment horizontal="left" wrapText="1"/>
    </xf>
    <xf numFmtId="0" fontId="10" fillId="0" borderId="10" xfId="0" applyFont="1" applyBorder="1" applyAlignment="1" applyProtection="1">
      <alignment horizontal="center" wrapText="1"/>
    </xf>
    <xf numFmtId="0" fontId="10" fillId="0" borderId="31" xfId="0" applyFont="1" applyBorder="1" applyAlignment="1" applyProtection="1">
      <alignment horizontal="center" wrapText="1"/>
    </xf>
    <xf numFmtId="0" fontId="10" fillId="0" borderId="10" xfId="0" applyFont="1" applyBorder="1" applyAlignment="1" applyProtection="1">
      <alignment wrapText="1"/>
    </xf>
    <xf numFmtId="2" fontId="10" fillId="0" borderId="75" xfId="0" applyNumberFormat="1" applyFont="1" applyBorder="1" applyAlignment="1" applyProtection="1">
      <alignment wrapText="1"/>
    </xf>
    <xf numFmtId="0" fontId="5" fillId="0" borderId="32" xfId="0" applyFont="1" applyBorder="1" applyAlignment="1" applyProtection="1">
      <alignment wrapText="1"/>
    </xf>
    <xf numFmtId="0" fontId="0" fillId="6" borderId="33" xfId="0" applyFill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wrapText="1"/>
    </xf>
    <xf numFmtId="0" fontId="10" fillId="0" borderId="2" xfId="0" applyFont="1" applyBorder="1" applyAlignment="1" applyProtection="1">
      <alignment horizontal="left" wrapText="1"/>
    </xf>
    <xf numFmtId="0" fontId="10" fillId="0" borderId="2" xfId="0" applyFont="1" applyBorder="1" applyAlignment="1" applyProtection="1">
      <alignment horizontal="center" wrapText="1"/>
    </xf>
    <xf numFmtId="0" fontId="10" fillId="0" borderId="34" xfId="0" applyFont="1" applyBorder="1" applyAlignment="1" applyProtection="1">
      <alignment horizontal="center" wrapText="1"/>
    </xf>
    <xf numFmtId="0" fontId="10" fillId="0" borderId="2" xfId="0" applyFont="1" applyBorder="1" applyAlignment="1" applyProtection="1">
      <alignment wrapText="1"/>
    </xf>
    <xf numFmtId="2" fontId="10" fillId="0" borderId="76" xfId="0" applyNumberFormat="1" applyFont="1" applyBorder="1" applyAlignment="1" applyProtection="1">
      <alignment wrapText="1"/>
    </xf>
    <xf numFmtId="0" fontId="5" fillId="0" borderId="35" xfId="0" applyFont="1" applyBorder="1" applyAlignment="1" applyProtection="1">
      <alignment wrapText="1"/>
    </xf>
    <xf numFmtId="164" fontId="0" fillId="0" borderId="36" xfId="0" applyNumberFormat="1" applyFill="1" applyBorder="1" applyAlignment="1" applyProtection="1">
      <alignment wrapText="1"/>
    </xf>
    <xf numFmtId="0" fontId="5" fillId="0" borderId="27" xfId="0" applyFont="1" applyFill="1" applyBorder="1" applyAlignment="1" applyProtection="1">
      <alignment wrapText="1"/>
    </xf>
    <xf numFmtId="0" fontId="0" fillId="0" borderId="36" xfId="0" applyFill="1" applyBorder="1" applyAlignment="1" applyProtection="1">
      <alignment wrapText="1"/>
    </xf>
    <xf numFmtId="0" fontId="0" fillId="6" borderId="37" xfId="0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wrapText="1"/>
    </xf>
    <xf numFmtId="0" fontId="0" fillId="0" borderId="27" xfId="0" applyBorder="1" applyAlignment="1" applyProtection="1">
      <alignment wrapText="1"/>
    </xf>
    <xf numFmtId="0" fontId="0" fillId="6" borderId="36" xfId="0" applyFill="1" applyBorder="1" applyAlignment="1" applyProtection="1">
      <alignment wrapText="1"/>
    </xf>
    <xf numFmtId="165" fontId="0" fillId="0" borderId="36" xfId="0" applyNumberFormat="1" applyFill="1" applyBorder="1" applyAlignment="1" applyProtection="1">
      <alignment wrapText="1"/>
    </xf>
    <xf numFmtId="0" fontId="0" fillId="0" borderId="38" xfId="0" applyBorder="1" applyAlignment="1" applyProtection="1">
      <alignment wrapText="1"/>
    </xf>
    <xf numFmtId="0" fontId="5" fillId="0" borderId="39" xfId="0" applyFont="1" applyBorder="1" applyAlignment="1" applyProtection="1">
      <alignment wrapText="1"/>
    </xf>
    <xf numFmtId="0" fontId="10" fillId="0" borderId="24" xfId="0" applyFont="1" applyBorder="1" applyAlignment="1" applyProtection="1">
      <alignment horizontal="center" wrapText="1"/>
    </xf>
    <xf numFmtId="0" fontId="10" fillId="0" borderId="25" xfId="0" applyFont="1" applyBorder="1" applyAlignment="1" applyProtection="1">
      <alignment horizontal="left" wrapText="1"/>
    </xf>
    <xf numFmtId="0" fontId="10" fillId="0" borderId="25" xfId="0" applyFont="1" applyBorder="1" applyAlignment="1" applyProtection="1">
      <alignment horizontal="center" wrapText="1"/>
    </xf>
    <xf numFmtId="0" fontId="10" fillId="0" borderId="26" xfId="0" applyFont="1" applyBorder="1" applyAlignment="1" applyProtection="1">
      <alignment horizontal="center" wrapText="1"/>
    </xf>
    <xf numFmtId="2" fontId="10" fillId="0" borderId="73" xfId="0" applyNumberFormat="1" applyFont="1" applyBorder="1" applyAlignment="1" applyProtection="1">
      <alignment wrapText="1"/>
    </xf>
    <xf numFmtId="0" fontId="5" fillId="0" borderId="56" xfId="0" applyFont="1" applyBorder="1" applyAlignment="1" applyProtection="1">
      <alignment wrapText="1"/>
    </xf>
    <xf numFmtId="0" fontId="0" fillId="6" borderId="50" xfId="0" applyFill="1" applyBorder="1" applyAlignment="1" applyProtection="1">
      <alignment horizontal="center" vertical="center" wrapText="1"/>
    </xf>
    <xf numFmtId="0" fontId="10" fillId="0" borderId="51" xfId="0" applyFont="1" applyBorder="1" applyAlignment="1" applyProtection="1">
      <alignment horizontal="center" wrapText="1"/>
    </xf>
    <xf numFmtId="0" fontId="10" fillId="0" borderId="15" xfId="0" applyFont="1" applyBorder="1" applyAlignment="1" applyProtection="1">
      <alignment horizontal="left" wrapText="1"/>
    </xf>
    <xf numFmtId="0" fontId="10" fillId="0" borderId="15" xfId="0" applyFont="1" applyBorder="1" applyAlignment="1" applyProtection="1">
      <alignment horizontal="center" wrapText="1"/>
    </xf>
    <xf numFmtId="0" fontId="10" fillId="0" borderId="57" xfId="0" applyFont="1" applyBorder="1" applyAlignment="1" applyProtection="1">
      <alignment horizontal="center" wrapText="1"/>
    </xf>
    <xf numFmtId="0" fontId="10" fillId="0" borderId="15" xfId="0" applyFont="1" applyBorder="1" applyAlignment="1" applyProtection="1">
      <alignment wrapText="1"/>
    </xf>
    <xf numFmtId="2" fontId="10" fillId="0" borderId="77" xfId="0" applyNumberFormat="1" applyFont="1" applyBorder="1" applyAlignment="1" applyProtection="1">
      <alignment wrapText="1"/>
    </xf>
    <xf numFmtId="0" fontId="5" fillId="0" borderId="41" xfId="0" applyFont="1" applyBorder="1" applyAlignment="1" applyProtection="1">
      <alignment wrapText="1"/>
    </xf>
    <xf numFmtId="0" fontId="0" fillId="0" borderId="42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wrapText="1"/>
    </xf>
    <xf numFmtId="0" fontId="10" fillId="0" borderId="42" xfId="0" applyFont="1" applyBorder="1" applyAlignment="1" applyProtection="1">
      <alignment horizontal="left" wrapText="1"/>
    </xf>
    <xf numFmtId="0" fontId="10" fillId="0" borderId="78" xfId="0" applyFont="1" applyBorder="1" applyAlignment="1" applyProtection="1">
      <alignment wrapText="1"/>
    </xf>
    <xf numFmtId="0" fontId="10" fillId="0" borderId="78" xfId="0" applyFont="1" applyBorder="1" applyAlignment="1" applyProtection="1">
      <alignment horizontal="center" wrapText="1"/>
    </xf>
    <xf numFmtId="0" fontId="0" fillId="0" borderId="43" xfId="0" applyBorder="1" applyAlignment="1" applyProtection="1">
      <alignment wrapText="1"/>
    </xf>
    <xf numFmtId="0" fontId="5" fillId="0" borderId="0" xfId="0" applyFont="1" applyAlignment="1" applyProtection="1">
      <alignment wrapText="1"/>
    </xf>
    <xf numFmtId="0" fontId="5" fillId="0" borderId="44" xfId="0" applyFont="1" applyBorder="1" applyAlignment="1" applyProtection="1">
      <alignment wrapText="1"/>
    </xf>
    <xf numFmtId="0" fontId="10" fillId="0" borderId="45" xfId="0" applyFont="1" applyBorder="1" applyAlignment="1" applyProtection="1">
      <alignment horizontal="center" wrapText="1"/>
    </xf>
    <xf numFmtId="0" fontId="10" fillId="0" borderId="18" xfId="0" applyFont="1" applyBorder="1" applyAlignment="1" applyProtection="1">
      <alignment horizontal="left" wrapText="1"/>
    </xf>
    <xf numFmtId="0" fontId="10" fillId="0" borderId="18" xfId="0" applyFont="1" applyBorder="1" applyAlignment="1" applyProtection="1">
      <alignment horizontal="center" wrapText="1"/>
    </xf>
    <xf numFmtId="2" fontId="38" fillId="13" borderId="11" xfId="0" applyNumberFormat="1" applyFont="1" applyFill="1" applyBorder="1" applyAlignment="1" applyProtection="1">
      <alignment wrapText="1"/>
    </xf>
    <xf numFmtId="0" fontId="5" fillId="0" borderId="4" xfId="0" applyFont="1" applyBorder="1" applyAlignment="1" applyProtection="1">
      <alignment wrapText="1"/>
    </xf>
    <xf numFmtId="0" fontId="5" fillId="6" borderId="37" xfId="0" applyFont="1" applyFill="1" applyBorder="1" applyAlignment="1" applyProtection="1">
      <alignment horizontal="center" vertical="center" wrapText="1"/>
    </xf>
    <xf numFmtId="2" fontId="38" fillId="13" borderId="19" xfId="0" applyNumberFormat="1" applyFont="1" applyFill="1" applyBorder="1" applyAlignment="1" applyProtection="1">
      <alignment wrapText="1"/>
    </xf>
    <xf numFmtId="0" fontId="5" fillId="0" borderId="49" xfId="0" applyFont="1" applyBorder="1" applyAlignment="1" applyProtection="1">
      <alignment wrapText="1"/>
    </xf>
    <xf numFmtId="0" fontId="5" fillId="6" borderId="50" xfId="0" applyFont="1" applyFill="1" applyBorder="1" applyAlignment="1" applyProtection="1">
      <alignment horizontal="center" vertical="center" wrapText="1"/>
    </xf>
    <xf numFmtId="2" fontId="38" fillId="13" borderId="16" xfId="0" applyNumberFormat="1" applyFont="1" applyFill="1" applyBorder="1" applyAlignment="1" applyProtection="1">
      <alignment wrapText="1"/>
    </xf>
    <xf numFmtId="2" fontId="0" fillId="0" borderId="0" xfId="0" applyNumberFormat="1" applyAlignment="1" applyProtection="1">
      <alignment horizontal="center" vertical="center" wrapText="1"/>
    </xf>
    <xf numFmtId="2" fontId="10" fillId="0" borderId="11" xfId="0" applyNumberFormat="1" applyFont="1" applyBorder="1" applyAlignment="1" applyProtection="1">
      <alignment wrapText="1"/>
    </xf>
    <xf numFmtId="2" fontId="10" fillId="0" borderId="13" xfId="0" applyNumberFormat="1" applyFont="1" applyBorder="1" applyAlignment="1" applyProtection="1">
      <alignment wrapText="1"/>
    </xf>
    <xf numFmtId="0" fontId="5" fillId="0" borderId="32" xfId="0" applyFont="1" applyBorder="1" applyAlignment="1" applyProtection="1">
      <alignment horizontal="left" wrapText="1"/>
    </xf>
    <xf numFmtId="0" fontId="5" fillId="0" borderId="5" xfId="0" applyFont="1" applyBorder="1" applyAlignment="1" applyProtection="1">
      <alignment horizontal="center" wrapText="1"/>
    </xf>
    <xf numFmtId="0" fontId="10" fillId="0" borderId="43" xfId="0" applyFont="1" applyBorder="1" applyAlignment="1" applyProtection="1">
      <alignment wrapText="1"/>
    </xf>
    <xf numFmtId="0" fontId="5" fillId="0" borderId="55" xfId="0" applyFont="1" applyBorder="1" applyAlignment="1" applyProtection="1">
      <alignment wrapText="1"/>
    </xf>
    <xf numFmtId="0" fontId="10" fillId="0" borderId="30" xfId="0" applyFont="1" applyBorder="1" applyAlignment="1" applyProtection="1">
      <alignment wrapText="1"/>
    </xf>
    <xf numFmtId="0" fontId="10" fillId="0" borderId="5" xfId="0" applyFont="1" applyBorder="1" applyAlignment="1" applyProtection="1">
      <alignment wrapText="1"/>
    </xf>
    <xf numFmtId="0" fontId="5" fillId="0" borderId="22" xfId="0" applyFont="1" applyBorder="1" applyAlignment="1" applyProtection="1">
      <alignment wrapText="1"/>
    </xf>
    <xf numFmtId="0" fontId="5" fillId="0" borderId="23" xfId="0" applyFont="1" applyFill="1" applyBorder="1" applyAlignment="1" applyProtection="1">
      <alignment wrapText="1"/>
    </xf>
    <xf numFmtId="0" fontId="0" fillId="0" borderId="23" xfId="0" applyBorder="1" applyAlignment="1" applyProtection="1">
      <alignment wrapText="1"/>
    </xf>
    <xf numFmtId="0" fontId="0" fillId="0" borderId="48" xfId="0" applyBorder="1" applyAlignment="1" applyProtection="1">
      <alignment wrapText="1"/>
    </xf>
    <xf numFmtId="0" fontId="10" fillId="0" borderId="24" xfId="0" applyFont="1" applyBorder="1" applyAlignment="1" applyProtection="1">
      <alignment wrapText="1"/>
    </xf>
    <xf numFmtId="2" fontId="10" fillId="0" borderId="21" xfId="0" applyNumberFormat="1" applyFont="1" applyBorder="1" applyAlignment="1" applyProtection="1">
      <alignment wrapText="1"/>
    </xf>
    <xf numFmtId="0" fontId="0" fillId="0" borderId="0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wrapText="1"/>
    </xf>
    <xf numFmtId="0" fontId="10" fillId="0" borderId="36" xfId="0" applyFont="1" applyBorder="1" applyAlignment="1" applyProtection="1">
      <alignment horizontal="center" wrapText="1"/>
    </xf>
    <xf numFmtId="0" fontId="10" fillId="0" borderId="41" xfId="0" applyFont="1" applyBorder="1" applyAlignment="1" applyProtection="1">
      <alignment horizontal="center" wrapText="1"/>
    </xf>
    <xf numFmtId="0" fontId="5" fillId="0" borderId="30" xfId="0" applyFont="1" applyBorder="1" applyAlignment="1" applyProtection="1">
      <alignment wrapText="1"/>
    </xf>
    <xf numFmtId="0" fontId="5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wrapText="1"/>
    </xf>
    <xf numFmtId="0" fontId="14" fillId="6" borderId="33" xfId="0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wrapText="1"/>
    </xf>
    <xf numFmtId="0" fontId="13" fillId="0" borderId="2" xfId="0" applyFont="1" applyBorder="1" applyAlignment="1" applyProtection="1">
      <alignment horizontal="left" wrapText="1"/>
    </xf>
    <xf numFmtId="0" fontId="13" fillId="0" borderId="34" xfId="0" applyFont="1" applyBorder="1" applyAlignment="1" applyProtection="1">
      <alignment horizontal="center" wrapText="1"/>
    </xf>
    <xf numFmtId="2" fontId="13" fillId="0" borderId="13" xfId="0" applyNumberFormat="1" applyFont="1" applyBorder="1" applyAlignment="1" applyProtection="1">
      <alignment wrapText="1"/>
    </xf>
    <xf numFmtId="0" fontId="5" fillId="0" borderId="51" xfId="0" applyFont="1" applyBorder="1" applyAlignment="1" applyProtection="1">
      <alignment wrapText="1"/>
    </xf>
    <xf numFmtId="0" fontId="10" fillId="0" borderId="51" xfId="0" applyFont="1" applyBorder="1" applyAlignment="1" applyProtection="1">
      <alignment wrapText="1"/>
    </xf>
    <xf numFmtId="2" fontId="10" fillId="0" borderId="16" xfId="0" applyNumberFormat="1" applyFont="1" applyBorder="1" applyAlignment="1" applyProtection="1">
      <alignment wrapText="1"/>
    </xf>
    <xf numFmtId="0" fontId="5" fillId="0" borderId="0" xfId="0" applyFont="1" applyBorder="1" applyAlignment="1" applyProtection="1">
      <alignment wrapText="1"/>
    </xf>
    <xf numFmtId="0" fontId="0" fillId="0" borderId="23" xfId="0" applyFill="1" applyBorder="1" applyAlignment="1" applyProtection="1">
      <alignment horizontal="center" vertical="center" wrapText="1"/>
    </xf>
    <xf numFmtId="0" fontId="10" fillId="0" borderId="47" xfId="0" applyFont="1" applyBorder="1" applyAlignment="1" applyProtection="1">
      <alignment horizontal="center" wrapText="1"/>
    </xf>
    <xf numFmtId="0" fontId="10" fillId="0" borderId="58" xfId="0" applyFont="1" applyBorder="1" applyAlignment="1" applyProtection="1">
      <alignment horizontal="left" wrapText="1"/>
    </xf>
    <xf numFmtId="0" fontId="10" fillId="0" borderId="58" xfId="0" applyFont="1" applyBorder="1" applyAlignment="1" applyProtection="1">
      <alignment horizontal="center" wrapText="1"/>
    </xf>
    <xf numFmtId="0" fontId="10" fillId="0" borderId="46" xfId="0" applyFont="1" applyBorder="1" applyAlignment="1" applyProtection="1">
      <alignment horizontal="center" wrapText="1"/>
    </xf>
    <xf numFmtId="0" fontId="10" fillId="0" borderId="47" xfId="0" applyFont="1" applyBorder="1" applyAlignment="1" applyProtection="1">
      <alignment wrapText="1"/>
    </xf>
    <xf numFmtId="2" fontId="10" fillId="0" borderId="23" xfId="0" applyNumberFormat="1" applyFont="1" applyBorder="1" applyAlignment="1" applyProtection="1">
      <alignment wrapText="1"/>
    </xf>
    <xf numFmtId="0" fontId="5" fillId="0" borderId="59" xfId="0" applyFont="1" applyBorder="1" applyAlignment="1" applyProtection="1">
      <alignment wrapText="1"/>
    </xf>
    <xf numFmtId="2" fontId="10" fillId="0" borderId="19" xfId="0" applyNumberFormat="1" applyFont="1" applyBorder="1" applyAlignment="1" applyProtection="1">
      <alignment wrapText="1"/>
    </xf>
    <xf numFmtId="0" fontId="10" fillId="0" borderId="17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center" wrapText="1"/>
    </xf>
    <xf numFmtId="0" fontId="10" fillId="0" borderId="14" xfId="0" applyFont="1" applyBorder="1" applyAlignment="1" applyProtection="1">
      <alignment horizontal="center" wrapText="1"/>
    </xf>
    <xf numFmtId="0" fontId="10" fillId="0" borderId="25" xfId="0" applyFont="1" applyBorder="1" applyAlignment="1" applyProtection="1">
      <alignment wrapText="1"/>
    </xf>
    <xf numFmtId="0" fontId="10" fillId="0" borderId="9" xfId="0" applyFont="1" applyBorder="1" applyAlignment="1" applyProtection="1">
      <alignment horizontal="center" wrapText="1"/>
    </xf>
    <xf numFmtId="0" fontId="10" fillId="0" borderId="53" xfId="0" applyFont="1" applyBorder="1" applyAlignment="1" applyProtection="1">
      <alignment horizontal="center" wrapText="1"/>
    </xf>
    <xf numFmtId="0" fontId="10" fillId="0" borderId="53" xfId="0" applyFont="1" applyBorder="1" applyAlignment="1" applyProtection="1">
      <alignment horizontal="left" wrapText="1"/>
    </xf>
    <xf numFmtId="0" fontId="10" fillId="0" borderId="63" xfId="0" applyFont="1" applyBorder="1" applyAlignment="1" applyProtection="1">
      <alignment wrapText="1"/>
    </xf>
    <xf numFmtId="0" fontId="10" fillId="0" borderId="63" xfId="0" applyFont="1" applyBorder="1" applyAlignment="1" applyProtection="1">
      <alignment horizontal="center" wrapText="1"/>
    </xf>
    <xf numFmtId="0" fontId="0" fillId="0" borderId="0" xfId="0" applyProtection="1">
      <protection locked="0"/>
    </xf>
    <xf numFmtId="0" fontId="7" fillId="4" borderId="64" xfId="3" applyFont="1" applyBorder="1" applyAlignment="1" applyProtection="1">
      <alignment horizontal="center" vertical="center" wrapText="1"/>
    </xf>
    <xf numFmtId="0" fontId="3" fillId="4" borderId="65" xfId="3" applyBorder="1" applyAlignment="1" applyProtection="1">
      <alignment horizontal="center" vertical="center" wrapText="1"/>
    </xf>
    <xf numFmtId="0" fontId="7" fillId="4" borderId="65" xfId="3" applyFont="1" applyBorder="1" applyAlignment="1" applyProtection="1">
      <alignment horizontal="center" vertical="center" wrapText="1"/>
    </xf>
    <xf numFmtId="0" fontId="3" fillId="4" borderId="64" xfId="3" applyBorder="1" applyAlignment="1" applyProtection="1">
      <alignment horizontal="center" vertical="center" wrapText="1"/>
    </xf>
    <xf numFmtId="2" fontId="17" fillId="0" borderId="2" xfId="2" applyNumberFormat="1" applyFont="1" applyFill="1" applyBorder="1" applyAlignment="1" applyProtection="1">
      <alignment horizontal="center" vertical="center"/>
    </xf>
    <xf numFmtId="0" fontId="7" fillId="4" borderId="64" xfId="3" applyFont="1" applyBorder="1" applyAlignment="1" applyProtection="1">
      <alignment wrapText="1"/>
    </xf>
    <xf numFmtId="0" fontId="3" fillId="4" borderId="65" xfId="3" applyBorder="1" applyAlignment="1" applyProtection="1">
      <alignment wrapText="1"/>
    </xf>
    <xf numFmtId="2" fontId="17" fillId="0" borderId="2" xfId="2" applyNumberFormat="1" applyFont="1" applyFill="1" applyBorder="1" applyProtection="1"/>
    <xf numFmtId="0" fontId="5" fillId="16" borderId="3" xfId="0" applyFont="1" applyFill="1" applyBorder="1" applyAlignment="1" applyProtection="1">
      <alignment vertical="top"/>
      <protection locked="0"/>
    </xf>
    <xf numFmtId="0" fontId="5" fillId="16" borderId="4" xfId="0" applyFont="1" applyFill="1" applyBorder="1" applyAlignment="1" applyProtection="1">
      <alignment vertical="top"/>
      <protection locked="0"/>
    </xf>
    <xf numFmtId="0" fontId="5" fillId="16" borderId="5" xfId="0" applyFont="1" applyFill="1" applyBorder="1" applyAlignment="1" applyProtection="1">
      <alignment vertical="top"/>
      <protection locked="0"/>
    </xf>
    <xf numFmtId="0" fontId="5" fillId="0" borderId="12" xfId="0" applyFont="1" applyBorder="1"/>
    <xf numFmtId="165" fontId="0" fillId="0" borderId="0" xfId="0" applyNumberFormat="1" applyAlignment="1">
      <alignment horizontal="center" vertical="center"/>
    </xf>
    <xf numFmtId="0" fontId="40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12" borderId="25" xfId="0" applyFont="1" applyFill="1" applyBorder="1"/>
    <xf numFmtId="0" fontId="39" fillId="12" borderId="58" xfId="0" applyFont="1" applyFill="1" applyBorder="1" applyAlignment="1">
      <alignment horizontal="center" wrapText="1"/>
    </xf>
    <xf numFmtId="0" fontId="0" fillId="12" borderId="0" xfId="0" applyFill="1"/>
    <xf numFmtId="0" fontId="0" fillId="12" borderId="0" xfId="0" applyFill="1" applyAlignment="1">
      <alignment horizontal="left"/>
    </xf>
    <xf numFmtId="0" fontId="5" fillId="12" borderId="12" xfId="0" applyFont="1" applyFill="1" applyBorder="1"/>
    <xf numFmtId="0" fontId="0" fillId="12" borderId="10" xfId="0" applyFill="1" applyBorder="1"/>
    <xf numFmtId="0" fontId="5" fillId="12" borderId="5" xfId="0" applyFont="1" applyFill="1" applyBorder="1" applyAlignment="1" applyProtection="1">
      <alignment horizontal="left" vertical="top"/>
      <protection locked="0"/>
    </xf>
    <xf numFmtId="0" fontId="5" fillId="12" borderId="0" xfId="0" applyFont="1" applyFill="1"/>
    <xf numFmtId="0" fontId="13" fillId="12" borderId="0" xfId="0" applyFont="1" applyFill="1" applyAlignment="1" applyProtection="1">
      <alignment horizontal="left"/>
      <protection hidden="1"/>
    </xf>
    <xf numFmtId="0" fontId="13" fillId="12" borderId="0" xfId="0" applyFont="1" applyFill="1" applyProtection="1">
      <protection hidden="1"/>
    </xf>
    <xf numFmtId="0" fontId="4" fillId="12" borderId="0" xfId="0" applyFont="1" applyFill="1"/>
    <xf numFmtId="0" fontId="0" fillId="0" borderId="9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14" fontId="5" fillId="16" borderId="2" xfId="0" applyNumberFormat="1" applyFont="1" applyFill="1" applyBorder="1" applyAlignment="1" applyProtection="1">
      <alignment horizontal="left"/>
      <protection locked="0"/>
    </xf>
    <xf numFmtId="0" fontId="5" fillId="16" borderId="2" xfId="0" applyFont="1" applyFill="1" applyBorder="1" applyAlignment="1" applyProtection="1">
      <alignment horizontal="left" vertical="center"/>
      <protection locked="0"/>
    </xf>
    <xf numFmtId="0" fontId="5" fillId="16" borderId="3" xfId="0" applyFont="1" applyFill="1" applyBorder="1" applyAlignment="1" applyProtection="1">
      <alignment horizontal="left" vertical="center" wrapText="1"/>
      <protection locked="0"/>
    </xf>
    <xf numFmtId="0" fontId="5" fillId="16" borderId="4" xfId="0" applyFont="1" applyFill="1" applyBorder="1" applyAlignment="1" applyProtection="1">
      <alignment horizontal="left" vertical="center" wrapText="1"/>
      <protection locked="0"/>
    </xf>
    <xf numFmtId="0" fontId="5" fillId="16" borderId="5" xfId="0" applyFont="1" applyFill="1" applyBorder="1" applyAlignment="1" applyProtection="1">
      <alignment horizontal="left" vertical="center" wrapText="1"/>
      <protection locked="0"/>
    </xf>
    <xf numFmtId="0" fontId="40" fillId="12" borderId="0" xfId="0" quotePrefix="1" applyFont="1" applyFill="1" applyAlignment="1" applyProtection="1">
      <alignment horizontal="left" vertical="top"/>
      <protection locked="0"/>
    </xf>
    <xf numFmtId="0" fontId="40" fillId="12" borderId="0" xfId="0" applyFont="1" applyFill="1" applyAlignment="1" applyProtection="1">
      <alignment horizontal="left" vertical="top"/>
      <protection locked="0"/>
    </xf>
    <xf numFmtId="0" fontId="5" fillId="14" borderId="2" xfId="0" applyFont="1" applyFill="1" applyBorder="1" applyAlignment="1" applyProtection="1">
      <alignment horizontal="left" vertical="center"/>
    </xf>
    <xf numFmtId="0" fontId="0" fillId="14" borderId="2" xfId="0" applyFill="1" applyBorder="1" applyAlignment="1" applyProtection="1">
      <alignment horizontal="left" vertical="center"/>
    </xf>
    <xf numFmtId="0" fontId="0" fillId="14" borderId="83" xfId="0" applyFill="1" applyBorder="1" applyAlignment="1" applyProtection="1">
      <alignment horizontal="left" vertical="center"/>
    </xf>
    <xf numFmtId="0" fontId="5" fillId="14" borderId="86" xfId="0" applyFont="1" applyFill="1" applyBorder="1" applyAlignment="1" applyProtection="1">
      <alignment horizontal="left" vertical="center"/>
    </xf>
    <xf numFmtId="0" fontId="0" fillId="14" borderId="87" xfId="0" applyFill="1" applyBorder="1" applyAlignment="1" applyProtection="1">
      <alignment horizontal="left" vertical="center"/>
    </xf>
    <xf numFmtId="0" fontId="0" fillId="14" borderId="88" xfId="0" applyFill="1" applyBorder="1" applyAlignment="1" applyProtection="1">
      <alignment horizontal="left" vertical="center"/>
    </xf>
    <xf numFmtId="0" fontId="4" fillId="14" borderId="79" xfId="0" applyFont="1" applyFill="1" applyBorder="1" applyAlignment="1" applyProtection="1">
      <alignment horizontal="center" vertical="center"/>
    </xf>
    <xf numFmtId="0" fontId="4" fillId="14" borderId="80" xfId="0" applyFont="1" applyFill="1" applyBorder="1" applyAlignment="1" applyProtection="1">
      <alignment horizontal="center" vertical="center"/>
    </xf>
    <xf numFmtId="0" fontId="4" fillId="14" borderId="81" xfId="0" applyFont="1" applyFill="1" applyBorder="1" applyAlignment="1" applyProtection="1">
      <alignment horizontal="center" vertical="center"/>
    </xf>
    <xf numFmtId="0" fontId="8" fillId="0" borderId="22" xfId="0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7" xfId="0" applyFont="1" applyBorder="1" applyAlignment="1" applyProtection="1">
      <alignment horizontal="center" vertical="center" textRotation="90" wrapText="1"/>
    </xf>
    <xf numFmtId="0" fontId="8" fillId="0" borderId="48" xfId="0" applyFont="1" applyBorder="1" applyAlignment="1" applyProtection="1">
      <alignment horizontal="center" vertical="center" textRotation="90" wrapText="1"/>
    </xf>
    <xf numFmtId="0" fontId="4" fillId="0" borderId="4" xfId="0" applyFont="1" applyBorder="1" applyAlignment="1" applyProtection="1">
      <alignment horizontal="center" wrapText="1"/>
    </xf>
    <xf numFmtId="0" fontId="4" fillId="0" borderId="5" xfId="0" applyFont="1" applyBorder="1" applyAlignment="1" applyProtection="1">
      <alignment horizontal="center" wrapText="1"/>
    </xf>
    <xf numFmtId="0" fontId="11" fillId="0" borderId="46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11" fillId="0" borderId="47" xfId="0" applyFont="1" applyBorder="1" applyAlignment="1" applyProtection="1">
      <alignment horizontal="center" vertical="center" wrapText="1"/>
    </xf>
    <xf numFmtId="0" fontId="11" fillId="0" borderId="52" xfId="0" applyFont="1" applyBorder="1" applyAlignment="1" applyProtection="1">
      <alignment horizontal="center" vertical="center" wrapText="1"/>
    </xf>
    <xf numFmtId="0" fontId="11" fillId="0" borderId="53" xfId="0" applyFont="1" applyBorder="1" applyAlignment="1" applyProtection="1">
      <alignment horizontal="center" vertical="center" wrapText="1"/>
    </xf>
    <xf numFmtId="0" fontId="11" fillId="0" borderId="54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wrapText="1"/>
    </xf>
    <xf numFmtId="0" fontId="0" fillId="0" borderId="4" xfId="0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</xf>
    <xf numFmtId="0" fontId="8" fillId="0" borderId="38" xfId="0" applyFont="1" applyBorder="1" applyAlignment="1" applyProtection="1">
      <alignment horizontal="center" vertical="center" textRotation="90" wrapText="1"/>
    </xf>
    <xf numFmtId="0" fontId="11" fillId="0" borderId="60" xfId="0" applyFont="1" applyBorder="1" applyAlignment="1" applyProtection="1">
      <alignment horizontal="center" vertical="center" wrapText="1"/>
    </xf>
    <xf numFmtId="0" fontId="11" fillId="0" borderId="61" xfId="0" applyFont="1" applyBorder="1" applyAlignment="1" applyProtection="1">
      <alignment horizontal="center" vertical="center" wrapText="1"/>
    </xf>
    <xf numFmtId="0" fontId="11" fillId="0" borderId="62" xfId="0" applyFont="1" applyBorder="1" applyAlignment="1" applyProtection="1">
      <alignment horizontal="center" vertical="center" wrapText="1"/>
    </xf>
    <xf numFmtId="0" fontId="8" fillId="0" borderId="22" xfId="0" applyFont="1" applyFill="1" applyBorder="1" applyAlignment="1" applyProtection="1">
      <alignment horizontal="center" vertical="center" textRotation="90" wrapText="1"/>
    </xf>
    <xf numFmtId="0" fontId="8" fillId="0" borderId="23" xfId="0" applyFont="1" applyFill="1" applyBorder="1" applyAlignment="1" applyProtection="1">
      <alignment horizontal="center" vertical="center" textRotation="90" wrapText="1"/>
    </xf>
    <xf numFmtId="0" fontId="8" fillId="0" borderId="27" xfId="0" applyFont="1" applyFill="1" applyBorder="1" applyAlignment="1" applyProtection="1">
      <alignment horizontal="center" vertical="center" textRotation="90" wrapText="1"/>
    </xf>
    <xf numFmtId="0" fontId="8" fillId="0" borderId="48" xfId="0" applyFont="1" applyFill="1" applyBorder="1" applyAlignment="1" applyProtection="1">
      <alignment horizontal="center" vertical="center" textRotation="90" wrapText="1"/>
    </xf>
    <xf numFmtId="0" fontId="16" fillId="2" borderId="2" xfId="1" applyFont="1" applyBorder="1" applyAlignment="1" applyProtection="1">
      <alignment horizontal="center"/>
    </xf>
    <xf numFmtId="0" fontId="3" fillId="4" borderId="1" xfId="3" applyAlignment="1">
      <alignment horizontal="center" vertical="center"/>
    </xf>
    <xf numFmtId="0" fontId="3" fillId="4" borderId="69" xfId="3" applyBorder="1" applyAlignment="1">
      <alignment horizontal="center" vertical="center"/>
    </xf>
    <xf numFmtId="0" fontId="3" fillId="4" borderId="70" xfId="3" applyBorder="1" applyAlignment="1">
      <alignment horizontal="center" vertical="center"/>
    </xf>
    <xf numFmtId="0" fontId="3" fillId="4" borderId="71" xfId="3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6" fillId="2" borderId="2" xfId="1" applyFont="1" applyBorder="1" applyAlignment="1">
      <alignment horizontal="center"/>
    </xf>
    <xf numFmtId="0" fontId="3" fillId="4" borderId="1" xfId="3" applyAlignment="1">
      <alignment horizontal="center" wrapText="1"/>
    </xf>
    <xf numFmtId="0" fontId="3" fillId="4" borderId="2" xfId="3" applyBorder="1" applyAlignment="1">
      <alignment horizontal="center" wrapText="1"/>
    </xf>
    <xf numFmtId="0" fontId="0" fillId="0" borderId="35" xfId="0" applyBorder="1" applyAlignment="1" applyProtection="1">
      <alignment horizontal="center" vertical="top"/>
    </xf>
    <xf numFmtId="0" fontId="0" fillId="0" borderId="61" xfId="0" applyBorder="1" applyAlignment="1" applyProtection="1">
      <alignment horizontal="center" vertical="top"/>
    </xf>
    <xf numFmtId="0" fontId="0" fillId="0" borderId="62" xfId="0" applyBorder="1" applyAlignment="1" applyProtection="1">
      <alignment horizontal="center" vertical="top"/>
    </xf>
    <xf numFmtId="166" fontId="0" fillId="0" borderId="27" xfId="0" applyNumberFormat="1" applyBorder="1" applyAlignment="1" applyProtection="1">
      <alignment horizontal="center" vertical="center"/>
    </xf>
    <xf numFmtId="166" fontId="0" fillId="0" borderId="0" xfId="0" applyNumberFormat="1" applyBorder="1" applyAlignment="1" applyProtection="1">
      <alignment horizontal="center" vertical="center"/>
    </xf>
    <xf numFmtId="166" fontId="0" fillId="0" borderId="47" xfId="0" applyNumberFormat="1" applyBorder="1" applyAlignment="1" applyProtection="1">
      <alignment horizontal="center" vertical="center"/>
    </xf>
    <xf numFmtId="166" fontId="0" fillId="0" borderId="55" xfId="0" applyNumberFormat="1" applyBorder="1" applyAlignment="1" applyProtection="1">
      <alignment horizontal="center" vertical="center"/>
    </xf>
    <xf numFmtId="166" fontId="0" fillId="0" borderId="44" xfId="0" applyNumberFormat="1" applyBorder="1" applyAlignment="1" applyProtection="1">
      <alignment horizontal="center" vertical="center"/>
    </xf>
    <xf numFmtId="166" fontId="0" fillId="0" borderId="45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top"/>
    </xf>
    <xf numFmtId="0" fontId="0" fillId="0" borderId="72" xfId="0" applyBorder="1" applyAlignment="1" applyProtection="1">
      <alignment horizontal="center" vertical="top"/>
    </xf>
    <xf numFmtId="0" fontId="0" fillId="0" borderId="24" xfId="0" applyBorder="1" applyAlignment="1" applyProtection="1">
      <alignment horizontal="center" vertical="top"/>
    </xf>
    <xf numFmtId="49" fontId="37" fillId="6" borderId="46" xfId="0" applyNumberFormat="1" applyFont="1" applyFill="1" applyBorder="1" applyAlignment="1" applyProtection="1">
      <alignment horizontal="center" vertical="center"/>
      <protection locked="0"/>
    </xf>
    <xf numFmtId="49" fontId="37" fillId="6" borderId="0" xfId="0" applyNumberFormat="1" applyFont="1" applyFill="1" applyBorder="1" applyAlignment="1" applyProtection="1">
      <alignment horizontal="center" vertical="center"/>
      <protection locked="0"/>
    </xf>
    <xf numFmtId="49" fontId="37" fillId="6" borderId="47" xfId="0" applyNumberFormat="1" applyFont="1" applyFill="1" applyBorder="1" applyAlignment="1" applyProtection="1">
      <alignment horizontal="center" vertical="center"/>
      <protection locked="0"/>
    </xf>
    <xf numFmtId="49" fontId="37" fillId="6" borderId="34" xfId="0" applyNumberFormat="1" applyFont="1" applyFill="1" applyBorder="1" applyAlignment="1" applyProtection="1">
      <alignment horizontal="center" vertical="center"/>
      <protection locked="0"/>
    </xf>
    <xf numFmtId="49" fontId="37" fillId="6" borderId="44" xfId="0" applyNumberFormat="1" applyFont="1" applyFill="1" applyBorder="1" applyAlignment="1" applyProtection="1">
      <alignment horizontal="center" vertical="center"/>
      <protection locked="0"/>
    </xf>
    <xf numFmtId="49" fontId="37" fillId="6" borderId="45" xfId="0" applyNumberFormat="1" applyFont="1" applyFill="1" applyBorder="1" applyAlignment="1" applyProtection="1">
      <alignment horizontal="center" vertical="center"/>
      <protection locked="0"/>
    </xf>
    <xf numFmtId="0" fontId="18" fillId="0" borderId="60" xfId="0" applyFont="1" applyBorder="1" applyAlignment="1" applyProtection="1">
      <alignment horizontal="center" vertical="center"/>
    </xf>
    <xf numFmtId="0" fontId="0" fillId="0" borderId="61" xfId="0" applyBorder="1" applyAlignment="1" applyProtection="1">
      <alignment horizontal="center" vertical="center"/>
    </xf>
    <xf numFmtId="0" fontId="0" fillId="0" borderId="62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166" fontId="0" fillId="0" borderId="2" xfId="0" applyNumberFormat="1" applyBorder="1" applyAlignment="1" applyProtection="1">
      <alignment horizontal="center" vertical="center" wrapText="1"/>
    </xf>
    <xf numFmtId="0" fontId="0" fillId="0" borderId="72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166" fontId="19" fillId="0" borderId="0" xfId="0" applyNumberFormat="1" applyFont="1" applyBorder="1" applyAlignment="1" applyProtection="1">
      <alignment horizontal="center" vertical="center"/>
    </xf>
    <xf numFmtId="166" fontId="19" fillId="0" borderId="47" xfId="0" applyNumberFormat="1" applyFont="1" applyBorder="1" applyAlignment="1" applyProtection="1">
      <alignment horizontal="center" vertical="center"/>
    </xf>
    <xf numFmtId="166" fontId="19" fillId="0" borderId="44" xfId="0" applyNumberFormat="1" applyFont="1" applyBorder="1" applyAlignment="1" applyProtection="1">
      <alignment horizontal="center" vertical="center"/>
    </xf>
    <xf numFmtId="166" fontId="19" fillId="0" borderId="45" xfId="0" applyNumberFormat="1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top"/>
    </xf>
    <xf numFmtId="0" fontId="0" fillId="0" borderId="73" xfId="0" applyBorder="1" applyAlignment="1" applyProtection="1">
      <alignment horizontal="center" vertical="top"/>
    </xf>
    <xf numFmtId="166" fontId="5" fillId="6" borderId="46" xfId="0" applyNumberFormat="1" applyFont="1" applyFill="1" applyBorder="1" applyAlignment="1" applyProtection="1">
      <alignment horizontal="center" vertical="center"/>
      <protection locked="0"/>
    </xf>
    <xf numFmtId="166" fontId="0" fillId="6" borderId="0" xfId="0" applyNumberFormat="1" applyFill="1" applyBorder="1" applyAlignment="1" applyProtection="1">
      <alignment horizontal="center" vertical="center"/>
      <protection locked="0"/>
    </xf>
    <xf numFmtId="166" fontId="0" fillId="6" borderId="68" xfId="0" applyNumberFormat="1" applyFill="1" applyBorder="1" applyAlignment="1" applyProtection="1">
      <alignment horizontal="center" vertical="center"/>
      <protection locked="0"/>
    </xf>
    <xf numFmtId="166" fontId="0" fillId="6" borderId="52" xfId="0" applyNumberFormat="1" applyFill="1" applyBorder="1" applyAlignment="1" applyProtection="1">
      <alignment horizontal="center" vertical="center"/>
      <protection locked="0"/>
    </xf>
    <xf numFmtId="166" fontId="0" fillId="6" borderId="53" xfId="0" applyNumberFormat="1" applyFill="1" applyBorder="1" applyAlignment="1" applyProtection="1">
      <alignment horizontal="center" vertical="center"/>
      <protection locked="0"/>
    </xf>
    <xf numFmtId="166" fontId="0" fillId="6" borderId="63" xfId="0" applyNumberFormat="1" applyFill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</xf>
    <xf numFmtId="0" fontId="4" fillId="0" borderId="61" xfId="0" applyFont="1" applyBorder="1" applyAlignment="1" applyProtection="1">
      <alignment horizontal="center" vertical="center"/>
    </xf>
    <xf numFmtId="0" fontId="4" fillId="0" borderId="67" xfId="0" applyFont="1" applyBorder="1" applyAlignment="1" applyProtection="1">
      <alignment horizontal="center" vertical="center"/>
    </xf>
    <xf numFmtId="0" fontId="4" fillId="0" borderId="55" xfId="0" applyFont="1" applyBorder="1" applyAlignment="1" applyProtection="1">
      <alignment horizontal="center" vertical="center"/>
    </xf>
    <xf numFmtId="0" fontId="4" fillId="0" borderId="44" xfId="0" applyFont="1" applyBorder="1" applyAlignment="1" applyProtection="1">
      <alignment horizontal="center" vertical="center"/>
    </xf>
    <xf numFmtId="0" fontId="4" fillId="0" borderId="74" xfId="0" applyFont="1" applyBorder="1" applyAlignment="1" applyProtection="1">
      <alignment horizontal="center" vertical="center"/>
    </xf>
    <xf numFmtId="0" fontId="5" fillId="0" borderId="39" xfId="0" applyNumberFormat="1" applyFont="1" applyBorder="1" applyAlignment="1" applyProtection="1">
      <alignment horizontal="left" vertical="top" wrapText="1"/>
    </xf>
    <xf numFmtId="0" fontId="5" fillId="0" borderId="72" xfId="0" applyNumberFormat="1" applyFont="1" applyBorder="1" applyAlignment="1" applyProtection="1">
      <alignment horizontal="left" vertical="top" wrapText="1"/>
    </xf>
    <xf numFmtId="0" fontId="5" fillId="0" borderId="73" xfId="0" applyNumberFormat="1" applyFont="1" applyBorder="1" applyAlignment="1" applyProtection="1">
      <alignment horizontal="left" vertical="top" wrapText="1"/>
    </xf>
    <xf numFmtId="0" fontId="5" fillId="0" borderId="27" xfId="0" applyNumberFormat="1" applyFont="1" applyBorder="1" applyAlignment="1" applyProtection="1">
      <alignment horizontal="left" vertical="top" wrapText="1"/>
    </xf>
    <xf numFmtId="0" fontId="5" fillId="0" borderId="0" xfId="0" applyNumberFormat="1" applyFont="1" applyBorder="1" applyAlignment="1" applyProtection="1">
      <alignment horizontal="left" vertical="top" wrapText="1"/>
    </xf>
    <xf numFmtId="0" fontId="5" fillId="0" borderId="68" xfId="0" applyNumberFormat="1" applyFont="1" applyBorder="1" applyAlignment="1" applyProtection="1">
      <alignment horizontal="left" vertical="top" wrapText="1"/>
    </xf>
    <xf numFmtId="0" fontId="0" fillId="0" borderId="27" xfId="0" applyNumberFormat="1" applyFill="1" applyBorder="1" applyAlignment="1" applyProtection="1">
      <alignment horizontal="left" vertical="top" wrapText="1"/>
    </xf>
    <xf numFmtId="0" fontId="0" fillId="0" borderId="0" xfId="0" applyNumberFormat="1" applyFill="1" applyBorder="1" applyAlignment="1" applyProtection="1">
      <alignment horizontal="left" vertical="top" wrapText="1"/>
    </xf>
    <xf numFmtId="0" fontId="0" fillId="0" borderId="68" xfId="0" applyNumberFormat="1" applyFill="1" applyBorder="1" applyAlignment="1" applyProtection="1">
      <alignment horizontal="left" vertical="top" wrapText="1"/>
    </xf>
    <xf numFmtId="0" fontId="0" fillId="0" borderId="39" xfId="0" applyBorder="1" applyAlignment="1" applyProtection="1">
      <alignment horizontal="center" vertical="top"/>
    </xf>
    <xf numFmtId="0" fontId="0" fillId="0" borderId="26" xfId="0" applyBorder="1" applyAlignment="1" applyProtection="1">
      <alignment horizontal="center" vertical="center" wrapText="1"/>
    </xf>
    <xf numFmtId="0" fontId="0" fillId="0" borderId="72" xfId="0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</xf>
    <xf numFmtId="167" fontId="0" fillId="6" borderId="0" xfId="0" applyNumberFormat="1" applyFill="1" applyBorder="1" applyAlignment="1" applyProtection="1">
      <alignment horizontal="center" vertical="center"/>
      <protection locked="0"/>
    </xf>
    <xf numFmtId="167" fontId="0" fillId="6" borderId="47" xfId="0" applyNumberFormat="1" applyFill="1" applyBorder="1" applyAlignment="1" applyProtection="1">
      <alignment horizontal="center" vertical="center"/>
      <protection locked="0"/>
    </xf>
    <xf numFmtId="167" fontId="0" fillId="6" borderId="53" xfId="0" applyNumberFormat="1" applyFill="1" applyBorder="1" applyAlignment="1" applyProtection="1">
      <alignment horizontal="center" vertical="center"/>
      <protection locked="0"/>
    </xf>
    <xf numFmtId="167" fontId="0" fillId="6" borderId="54" xfId="0" applyNumberFormat="1" applyFill="1" applyBorder="1" applyAlignment="1" applyProtection="1">
      <alignment horizontal="center" vertical="center"/>
      <protection locked="0"/>
    </xf>
    <xf numFmtId="1" fontId="5" fillId="6" borderId="46" xfId="0" applyNumberFormat="1" applyFont="1" applyFill="1" applyBorder="1" applyAlignment="1" applyProtection="1">
      <alignment horizontal="center" vertical="center"/>
      <protection locked="0"/>
    </xf>
    <xf numFmtId="1" fontId="5" fillId="6" borderId="0" xfId="0" applyNumberFormat="1" applyFont="1" applyFill="1" applyBorder="1" applyAlignment="1" applyProtection="1">
      <alignment horizontal="center" vertical="center"/>
      <protection locked="0"/>
    </xf>
    <xf numFmtId="1" fontId="5" fillId="6" borderId="47" xfId="0" applyNumberFormat="1" applyFont="1" applyFill="1" applyBorder="1" applyAlignment="1" applyProtection="1">
      <alignment horizontal="center" vertical="center"/>
      <protection locked="0"/>
    </xf>
    <xf numFmtId="1" fontId="5" fillId="6" borderId="52" xfId="0" applyNumberFormat="1" applyFont="1" applyFill="1" applyBorder="1" applyAlignment="1" applyProtection="1">
      <alignment horizontal="center" vertical="center"/>
      <protection locked="0"/>
    </xf>
    <xf numFmtId="1" fontId="5" fillId="6" borderId="53" xfId="0" applyNumberFormat="1" applyFont="1" applyFill="1" applyBorder="1" applyAlignment="1" applyProtection="1">
      <alignment horizontal="center" vertical="center"/>
      <protection locked="0"/>
    </xf>
    <xf numFmtId="1" fontId="5" fillId="6" borderId="5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Border="1" applyAlignment="1" applyProtection="1">
      <alignment horizontal="center" vertical="center" wrapText="1"/>
      <protection locked="0"/>
    </xf>
    <xf numFmtId="0" fontId="4" fillId="6" borderId="47" xfId="0" applyFont="1" applyFill="1" applyBorder="1" applyAlignment="1" applyProtection="1">
      <alignment horizontal="center" vertical="center" wrapText="1"/>
      <protection locked="0"/>
    </xf>
    <xf numFmtId="0" fontId="4" fillId="6" borderId="53" xfId="0" applyFont="1" applyFill="1" applyBorder="1" applyAlignment="1" applyProtection="1">
      <alignment horizontal="center" vertical="center" wrapText="1"/>
      <protection locked="0"/>
    </xf>
    <xf numFmtId="0" fontId="4" fillId="6" borderId="54" xfId="0" applyFont="1" applyFill="1" applyBorder="1" applyAlignment="1" applyProtection="1">
      <alignment horizontal="center" vertical="center" wrapText="1"/>
      <protection locked="0"/>
    </xf>
    <xf numFmtId="0" fontId="0" fillId="6" borderId="0" xfId="0" applyFill="1" applyBorder="1" applyAlignment="1" applyProtection="1">
      <alignment horizontal="center" vertical="center" wrapText="1"/>
      <protection locked="0"/>
    </xf>
    <xf numFmtId="0" fontId="0" fillId="6" borderId="47" xfId="0" applyFill="1" applyBorder="1" applyAlignment="1" applyProtection="1">
      <alignment horizontal="center" vertical="center" wrapText="1"/>
      <protection locked="0"/>
    </xf>
    <xf numFmtId="0" fontId="0" fillId="6" borderId="53" xfId="0" applyFill="1" applyBorder="1" applyAlignment="1" applyProtection="1">
      <alignment horizontal="center" vertical="center" wrapText="1"/>
      <protection locked="0"/>
    </xf>
    <xf numFmtId="0" fontId="0" fillId="6" borderId="54" xfId="0" applyFill="1" applyBorder="1" applyAlignment="1" applyProtection="1">
      <alignment horizontal="center" vertical="center" wrapText="1"/>
      <protection locked="0"/>
    </xf>
    <xf numFmtId="0" fontId="0" fillId="0" borderId="60" xfId="0" applyBorder="1" applyAlignment="1" applyProtection="1">
      <alignment horizontal="center" vertical="center"/>
    </xf>
    <xf numFmtId="0" fontId="0" fillId="0" borderId="67" xfId="0" applyBorder="1" applyAlignment="1" applyProtection="1">
      <alignment horizontal="center" vertical="center"/>
    </xf>
    <xf numFmtId="0" fontId="0" fillId="0" borderId="68" xfId="0" applyBorder="1" applyAlignment="1" applyProtection="1">
      <alignment horizontal="center" vertical="center"/>
    </xf>
    <xf numFmtId="166" fontId="0" fillId="0" borderId="2" xfId="0" applyNumberForma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/>
    </xf>
    <xf numFmtId="166" fontId="0" fillId="6" borderId="2" xfId="0" applyNumberFormat="1" applyFill="1" applyBorder="1" applyAlignment="1" applyProtection="1">
      <alignment horizontal="center" vertical="center"/>
      <protection locked="0"/>
    </xf>
    <xf numFmtId="166" fontId="0" fillId="0" borderId="26" xfId="0" applyNumberFormat="1" applyFill="1" applyBorder="1" applyAlignment="1" applyProtection="1">
      <alignment horizontal="center" vertical="center"/>
    </xf>
    <xf numFmtId="166" fontId="0" fillId="0" borderId="72" xfId="0" applyNumberFormat="1" applyFill="1" applyBorder="1" applyAlignment="1" applyProtection="1">
      <alignment horizontal="center" vertical="center"/>
    </xf>
    <xf numFmtId="166" fontId="0" fillId="0" borderId="24" xfId="0" applyNumberFormat="1" applyFill="1" applyBorder="1" applyAlignment="1" applyProtection="1">
      <alignment horizontal="center" vertical="center"/>
    </xf>
    <xf numFmtId="166" fontId="0" fillId="0" borderId="34" xfId="0" applyNumberFormat="1" applyFill="1" applyBorder="1" applyAlignment="1" applyProtection="1">
      <alignment horizontal="center" vertical="center"/>
    </xf>
    <xf numFmtId="166" fontId="0" fillId="0" borderId="44" xfId="0" applyNumberFormat="1" applyFill="1" applyBorder="1" applyAlignment="1" applyProtection="1">
      <alignment horizontal="center" vertical="center"/>
    </xf>
    <xf numFmtId="166" fontId="0" fillId="0" borderId="45" xfId="0" applyNumberFormat="1" applyFill="1" applyBorder="1" applyAlignment="1" applyProtection="1">
      <alignment horizontal="center" vertical="center"/>
    </xf>
    <xf numFmtId="166" fontId="0" fillId="0" borderId="26" xfId="0" applyNumberFormat="1" applyBorder="1" applyAlignment="1" applyProtection="1">
      <alignment horizontal="center" vertical="center"/>
    </xf>
    <xf numFmtId="166" fontId="0" fillId="0" borderId="72" xfId="0" applyNumberFormat="1" applyBorder="1" applyAlignment="1" applyProtection="1">
      <alignment horizontal="center" vertical="center"/>
    </xf>
    <xf numFmtId="166" fontId="0" fillId="0" borderId="24" xfId="0" applyNumberFormat="1" applyBorder="1" applyAlignment="1" applyProtection="1">
      <alignment horizontal="center" vertical="center"/>
    </xf>
    <xf numFmtId="166" fontId="0" fillId="0" borderId="34" xfId="0" applyNumberFormat="1" applyBorder="1" applyAlignment="1" applyProtection="1">
      <alignment horizontal="center" vertical="center"/>
    </xf>
    <xf numFmtId="166" fontId="0" fillId="0" borderId="26" xfId="0" applyNumberFormat="1" applyBorder="1" applyAlignment="1" applyProtection="1">
      <alignment horizontal="center" vertical="center" wrapText="1"/>
    </xf>
    <xf numFmtId="166" fontId="0" fillId="0" borderId="72" xfId="0" applyNumberFormat="1" applyBorder="1" applyAlignment="1" applyProtection="1">
      <alignment horizontal="center" vertical="center" wrapText="1"/>
    </xf>
    <xf numFmtId="166" fontId="0" fillId="0" borderId="24" xfId="0" applyNumberFormat="1" applyBorder="1" applyAlignment="1" applyProtection="1">
      <alignment horizontal="center" vertical="center" wrapText="1"/>
    </xf>
    <xf numFmtId="166" fontId="0" fillId="0" borderId="34" xfId="0" applyNumberFormat="1" applyBorder="1" applyAlignment="1" applyProtection="1">
      <alignment horizontal="center" vertical="center" wrapText="1"/>
    </xf>
    <xf numFmtId="166" fontId="0" fillId="0" borderId="44" xfId="0" applyNumberFormat="1" applyBorder="1" applyAlignment="1" applyProtection="1">
      <alignment horizontal="center" vertical="center" wrapText="1"/>
    </xf>
    <xf numFmtId="166" fontId="0" fillId="0" borderId="45" xfId="0" applyNumberFormat="1" applyBorder="1" applyAlignment="1" applyProtection="1">
      <alignment horizontal="center" vertical="center" wrapText="1"/>
    </xf>
    <xf numFmtId="0" fontId="0" fillId="6" borderId="27" xfId="0" applyFill="1" applyBorder="1" applyAlignment="1" applyProtection="1">
      <alignment horizontal="left" vertical="top"/>
      <protection locked="0"/>
    </xf>
    <xf numFmtId="0" fontId="0" fillId="6" borderId="0" xfId="0" applyFill="1" applyBorder="1" applyAlignment="1" applyProtection="1">
      <alignment horizontal="left" vertical="top"/>
      <protection locked="0"/>
    </xf>
    <xf numFmtId="0" fontId="0" fillId="6" borderId="68" xfId="0" applyFill="1" applyBorder="1" applyAlignment="1" applyProtection="1">
      <alignment horizontal="left" vertical="top"/>
      <protection locked="0"/>
    </xf>
    <xf numFmtId="0" fontId="0" fillId="6" borderId="38" xfId="0" applyFill="1" applyBorder="1" applyAlignment="1" applyProtection="1">
      <alignment horizontal="left" vertical="top"/>
      <protection locked="0"/>
    </xf>
    <xf numFmtId="0" fontId="0" fillId="6" borderId="53" xfId="0" applyFill="1" applyBorder="1" applyAlignment="1" applyProtection="1">
      <alignment horizontal="left" vertical="top"/>
      <protection locked="0"/>
    </xf>
    <xf numFmtId="0" fontId="0" fillId="6" borderId="63" xfId="0" applyFill="1" applyBorder="1" applyAlignment="1" applyProtection="1">
      <alignment horizontal="left" vertical="top"/>
      <protection locked="0"/>
    </xf>
    <xf numFmtId="0" fontId="21" fillId="0" borderId="38" xfId="0" applyFont="1" applyBorder="1" applyAlignment="1" applyProtection="1">
      <alignment horizontal="center"/>
    </xf>
    <xf numFmtId="0" fontId="21" fillId="0" borderId="53" xfId="0" applyFont="1" applyBorder="1" applyAlignment="1" applyProtection="1">
      <alignment horizontal="center"/>
    </xf>
    <xf numFmtId="0" fontId="21" fillId="0" borderId="63" xfId="0" applyFont="1" applyBorder="1" applyAlignment="1" applyProtection="1">
      <alignment horizontal="center"/>
    </xf>
    <xf numFmtId="166" fontId="0" fillId="0" borderId="46" xfId="0" applyNumberFormat="1" applyBorder="1" applyAlignment="1" applyProtection="1">
      <alignment horizontal="center" vertical="center"/>
    </xf>
    <xf numFmtId="1" fontId="29" fillId="0" borderId="0" xfId="0" applyNumberFormat="1" applyFont="1" applyBorder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2" fillId="11" borderId="3" xfId="0" applyFont="1" applyFill="1" applyBorder="1" applyAlignment="1">
      <alignment horizontal="left" vertical="center"/>
    </xf>
    <xf numFmtId="0" fontId="32" fillId="11" borderId="5" xfId="0" applyFont="1" applyFill="1" applyBorder="1" applyAlignment="1">
      <alignment horizontal="left" vertical="center"/>
    </xf>
    <xf numFmtId="0" fontId="32" fillId="11" borderId="2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7" fontId="31" fillId="0" borderId="0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/>
    </xf>
    <xf numFmtId="0" fontId="32" fillId="11" borderId="5" xfId="0" applyFont="1" applyFill="1" applyBorder="1" applyAlignment="1">
      <alignment horizontal="center" vertical="center"/>
    </xf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hyperlink" Target="https://www.facebook.com/silvercraftproducts/" TargetMode="External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57</xdr:row>
      <xdr:rowOff>38100</xdr:rowOff>
    </xdr:from>
    <xdr:to>
      <xdr:col>9</xdr:col>
      <xdr:colOff>295275</xdr:colOff>
      <xdr:row>85</xdr:row>
      <xdr:rowOff>86802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20000" contrast="-10000"/>
        </a:blip>
        <a:srcRect l="37408" t="37500" r="37336" b="22396"/>
        <a:stretch>
          <a:fillRect/>
        </a:stretch>
      </xdr:blipFill>
      <xdr:spPr bwMode="auto">
        <a:xfrm>
          <a:off x="400050" y="13201650"/>
          <a:ext cx="6029325" cy="53827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28576</xdr:colOff>
      <xdr:row>1</xdr:row>
      <xdr:rowOff>38100</xdr:rowOff>
    </xdr:from>
    <xdr:to>
      <xdr:col>38</xdr:col>
      <xdr:colOff>108416</xdr:colOff>
      <xdr:row>5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6" y="200025"/>
          <a:ext cx="114664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0</xdr:row>
      <xdr:rowOff>38101</xdr:rowOff>
    </xdr:from>
    <xdr:to>
      <xdr:col>1</xdr:col>
      <xdr:colOff>152401</xdr:colOff>
      <xdr:row>3</xdr:row>
      <xdr:rowOff>194511</xdr:rowOff>
    </xdr:to>
    <xdr:pic>
      <xdr:nvPicPr>
        <xdr:cNvPr id="2" name="Picture 3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7" y="38101"/>
          <a:ext cx="904874" cy="842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0</xdr:row>
      <xdr:rowOff>38101</xdr:rowOff>
    </xdr:from>
    <xdr:to>
      <xdr:col>1</xdr:col>
      <xdr:colOff>152401</xdr:colOff>
      <xdr:row>3</xdr:row>
      <xdr:rowOff>194511</xdr:rowOff>
    </xdr:to>
    <xdr:pic>
      <xdr:nvPicPr>
        <xdr:cNvPr id="2" name="Picture 3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7" y="38101"/>
          <a:ext cx="904874" cy="842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2</xdr:col>
      <xdr:colOff>314325</xdr:colOff>
      <xdr:row>40</xdr:row>
      <xdr:rowOff>266700</xdr:rowOff>
    </xdr:to>
    <xdr:pic>
      <xdr:nvPicPr>
        <xdr:cNvPr id="3" name="Picture 1" descr="facebook-ico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267700"/>
          <a:ext cx="13906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s\Quotations\00%20Templates\TANK%20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tank general information"/>
      <sheetName val="tank Parts calcualtion"/>
      <sheetName val="cylinder m calculation"/>
      <sheetName val="vertro resina data"/>
      <sheetName val="Job"/>
      <sheetName val="Order"/>
      <sheetName val="Formal Quote"/>
    </sheetNames>
    <sheetDataSet>
      <sheetData sheetId="0" refreshError="1"/>
      <sheetData sheetId="1">
        <row r="2">
          <cell r="C2">
            <v>44253</v>
          </cell>
          <cell r="K2" t="str">
            <v>No. 4,</v>
          </cell>
          <cell r="P2" t="str">
            <v>Greta Balzan</v>
          </cell>
        </row>
        <row r="3">
          <cell r="C3" t="str">
            <v>Q000</v>
          </cell>
          <cell r="K3" t="str">
            <v>Triq ABC,</v>
          </cell>
          <cell r="P3">
            <v>99474943</v>
          </cell>
        </row>
        <row r="4">
          <cell r="K4" t="str">
            <v>Marsa, MRS 3000</v>
          </cell>
          <cell r="P4" t="str">
            <v>LPO000</v>
          </cell>
        </row>
        <row r="5">
          <cell r="C5" t="str">
            <v>Greta Balzan</v>
          </cell>
          <cell r="K5" t="str">
            <v>MT 0000-0000</v>
          </cell>
        </row>
        <row r="6">
          <cell r="K6" t="str">
            <v>1-sentence description</v>
          </cell>
        </row>
      </sheetData>
      <sheetData sheetId="2">
        <row r="7">
          <cell r="C7">
            <v>10.18008</v>
          </cell>
        </row>
        <row r="105">
          <cell r="M105">
            <v>0</v>
          </cell>
        </row>
        <row r="149">
          <cell r="M149">
            <v>0</v>
          </cell>
        </row>
      </sheetData>
      <sheetData sheetId="3" refreshError="1"/>
      <sheetData sheetId="4" refreshError="1"/>
      <sheetData sheetId="5">
        <row r="5">
          <cell r="A5" t="str">
            <v>000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H70"/>
  <sheetViews>
    <sheetView tabSelected="1" topLeftCell="A64" zoomScale="110" zoomScaleNormal="110" workbookViewId="0">
      <selection activeCell="D76" sqref="D76"/>
    </sheetView>
  </sheetViews>
  <sheetFormatPr defaultColWidth="9.1796875" defaultRowHeight="14.5" x14ac:dyDescent="0.35"/>
  <cols>
    <col min="1" max="1" width="9.1796875" style="2"/>
    <col min="2" max="2" width="23.81640625" style="2" customWidth="1"/>
    <col min="3" max="3" width="23.453125" style="2" customWidth="1"/>
    <col min="4" max="4" width="12.453125" style="2" customWidth="1"/>
    <col min="5" max="5" width="18.1796875" style="2" customWidth="1"/>
    <col min="6" max="6" width="10.81640625" style="2" customWidth="1"/>
    <col min="7" max="7" width="17.54296875" style="2" customWidth="1"/>
    <col min="8" max="9" width="9.1796875" style="2"/>
    <col min="10" max="10" width="26.54296875" style="2" customWidth="1"/>
    <col min="11" max="16384" width="9.1796875" style="2"/>
  </cols>
  <sheetData>
    <row r="1" spans="2:7" x14ac:dyDescent="0.35">
      <c r="B1" s="288" t="s">
        <v>0</v>
      </c>
      <c r="C1" s="288"/>
      <c r="D1" s="288"/>
      <c r="E1" s="288"/>
    </row>
    <row r="2" spans="2:7" x14ac:dyDescent="0.35">
      <c r="B2" s="1" t="s">
        <v>1</v>
      </c>
      <c r="C2" s="289">
        <f ca="1">TODAY()</f>
        <v>44598</v>
      </c>
      <c r="D2" s="289"/>
      <c r="E2" s="289"/>
      <c r="F2" s="289"/>
      <c r="G2" s="289"/>
    </row>
    <row r="3" spans="2:7" x14ac:dyDescent="0.35">
      <c r="B3" s="1" t="s">
        <v>3</v>
      </c>
      <c r="C3" s="290"/>
      <c r="D3" s="290"/>
      <c r="E3" s="290"/>
      <c r="F3" s="290"/>
      <c r="G3" s="290"/>
    </row>
    <row r="4" spans="2:7" x14ac:dyDescent="0.35">
      <c r="B4" s="1" t="s">
        <v>5</v>
      </c>
      <c r="C4" s="290"/>
      <c r="D4" s="290"/>
      <c r="E4" s="290"/>
      <c r="F4" s="290"/>
      <c r="G4" s="290"/>
    </row>
    <row r="5" spans="2:7" x14ac:dyDescent="0.35">
      <c r="B5" s="1" t="s">
        <v>7</v>
      </c>
      <c r="C5" s="266"/>
      <c r="D5" s="267"/>
      <c r="E5" s="267"/>
      <c r="F5" s="267"/>
      <c r="G5" s="268"/>
    </row>
    <row r="6" spans="2:7" x14ac:dyDescent="0.35">
      <c r="B6" s="1" t="s">
        <v>231</v>
      </c>
      <c r="C6" s="266"/>
      <c r="D6" s="267"/>
      <c r="E6" s="267"/>
      <c r="F6" s="267"/>
      <c r="G6" s="268"/>
    </row>
    <row r="7" spans="2:7" x14ac:dyDescent="0.35">
      <c r="B7" s="1" t="s">
        <v>232</v>
      </c>
      <c r="C7" s="266"/>
      <c r="D7" s="267"/>
      <c r="E7" s="267"/>
      <c r="F7" s="267"/>
      <c r="G7" s="268"/>
    </row>
    <row r="8" spans="2:7" x14ac:dyDescent="0.35">
      <c r="B8" s="1" t="s">
        <v>8</v>
      </c>
      <c r="C8" s="290"/>
      <c r="D8" s="290"/>
      <c r="E8" s="290"/>
      <c r="F8" s="290"/>
      <c r="G8" s="290"/>
    </row>
    <row r="9" spans="2:7" ht="131.25" customHeight="1" x14ac:dyDescent="0.35">
      <c r="B9" s="1" t="s">
        <v>233</v>
      </c>
      <c r="C9" s="291"/>
      <c r="D9" s="292"/>
      <c r="E9" s="292"/>
      <c r="F9" s="292"/>
      <c r="G9" s="293"/>
    </row>
    <row r="10" spans="2:7" ht="22.5" customHeight="1" x14ac:dyDescent="0.35">
      <c r="B10" s="1" t="s">
        <v>9</v>
      </c>
      <c r="C10" s="89"/>
      <c r="D10" s="90"/>
      <c r="E10" s="90"/>
      <c r="F10" s="90"/>
      <c r="G10" s="91"/>
    </row>
    <row r="12" spans="2:7" s="96" customFormat="1" x14ac:dyDescent="0.35">
      <c r="B12" s="95" t="s">
        <v>10</v>
      </c>
      <c r="C12" s="4"/>
    </row>
    <row r="13" spans="2:7" s="96" customFormat="1" x14ac:dyDescent="0.35">
      <c r="B13" s="95" t="s">
        <v>11</v>
      </c>
      <c r="C13" s="4"/>
    </row>
    <row r="14" spans="2:7" s="96" customFormat="1" x14ac:dyDescent="0.35">
      <c r="B14" s="97" t="s">
        <v>12</v>
      </c>
      <c r="C14" s="98">
        <f>((C12/2)*(C12/2))*3.142*C13</f>
        <v>0</v>
      </c>
    </row>
    <row r="15" spans="2:7" s="99" customFormat="1" x14ac:dyDescent="0.35">
      <c r="C15" s="100"/>
      <c r="D15" s="101"/>
    </row>
    <row r="16" spans="2:7" s="99" customFormat="1" x14ac:dyDescent="0.35">
      <c r="B16" s="102" t="s">
        <v>13</v>
      </c>
      <c r="C16" s="103" t="s">
        <v>14</v>
      </c>
      <c r="D16" s="104" t="s">
        <v>15</v>
      </c>
    </row>
    <row r="17" spans="2:8" s="99" customFormat="1" x14ac:dyDescent="0.35">
      <c r="B17" s="102" t="s">
        <v>16</v>
      </c>
      <c r="C17" s="103" t="s">
        <v>17</v>
      </c>
      <c r="D17" s="105">
        <f>'Parts Cal'!M40</f>
        <v>0</v>
      </c>
    </row>
    <row r="18" spans="2:8" s="99" customFormat="1" x14ac:dyDescent="0.35">
      <c r="B18" s="102" t="s">
        <v>18</v>
      </c>
      <c r="C18" s="103" t="s">
        <v>19</v>
      </c>
      <c r="D18" s="105">
        <f>'Parts Cal'!M63</f>
        <v>0</v>
      </c>
    </row>
    <row r="19" spans="2:8" s="99" customFormat="1" x14ac:dyDescent="0.35">
      <c r="B19" s="102" t="s">
        <v>20</v>
      </c>
      <c r="C19" s="103" t="s">
        <v>21</v>
      </c>
      <c r="D19" s="105">
        <f>'Parts Cal'!M86</f>
        <v>0</v>
      </c>
    </row>
    <row r="20" spans="2:8" s="99" customFormat="1" ht="25" x14ac:dyDescent="0.35">
      <c r="B20" s="102" t="s">
        <v>22</v>
      </c>
      <c r="C20" s="103" t="s">
        <v>23</v>
      </c>
      <c r="D20" s="105">
        <f>'[1]tank Parts calcualtion'!M105</f>
        <v>0</v>
      </c>
    </row>
    <row r="21" spans="2:8" s="99" customFormat="1" x14ac:dyDescent="0.35">
      <c r="B21" s="102" t="s">
        <v>24</v>
      </c>
      <c r="C21" s="103" t="s">
        <v>25</v>
      </c>
      <c r="D21" s="105">
        <f>'Parts Cal'!M109</f>
        <v>0</v>
      </c>
    </row>
    <row r="22" spans="2:8" s="99" customFormat="1" x14ac:dyDescent="0.35">
      <c r="B22" s="102" t="s">
        <v>26</v>
      </c>
      <c r="C22" s="103" t="s">
        <v>27</v>
      </c>
      <c r="D22" s="105">
        <f>'[1]tank Parts calcualtion'!M149</f>
        <v>0</v>
      </c>
    </row>
    <row r="23" spans="2:8" s="99" customFormat="1" ht="25" x14ac:dyDescent="0.35">
      <c r="B23" s="102" t="s">
        <v>28</v>
      </c>
      <c r="C23" s="103" t="s">
        <v>29</v>
      </c>
      <c r="D23" s="105">
        <f>'Parts Cal'!M175</f>
        <v>0</v>
      </c>
    </row>
    <row r="24" spans="2:8" s="99" customFormat="1" ht="25" x14ac:dyDescent="0.35">
      <c r="B24" s="102" t="s">
        <v>30</v>
      </c>
      <c r="C24" s="103" t="s">
        <v>31</v>
      </c>
      <c r="D24" s="105">
        <f>'Parts Cal'!M198</f>
        <v>0</v>
      </c>
    </row>
    <row r="25" spans="2:8" s="99" customFormat="1" ht="25" x14ac:dyDescent="0.35">
      <c r="B25" s="102" t="s">
        <v>32</v>
      </c>
      <c r="C25" s="103" t="s">
        <v>33</v>
      </c>
      <c r="D25" s="105">
        <f>'Parts Cal'!M221</f>
        <v>0</v>
      </c>
    </row>
    <row r="26" spans="2:8" s="99" customFormat="1" ht="25" x14ac:dyDescent="0.35">
      <c r="B26" s="102" t="s">
        <v>34</v>
      </c>
      <c r="C26" s="103" t="s">
        <v>35</v>
      </c>
      <c r="D26" s="105">
        <f>'Parts Cal'!M244</f>
        <v>0</v>
      </c>
    </row>
    <row r="27" spans="2:8" s="99" customFormat="1" x14ac:dyDescent="0.35">
      <c r="B27" s="102" t="s">
        <v>36</v>
      </c>
      <c r="C27" s="103" t="s">
        <v>37</v>
      </c>
      <c r="D27" s="105">
        <f>'Parts Cal'!M267</f>
        <v>0</v>
      </c>
    </row>
    <row r="28" spans="2:8" s="96" customFormat="1" x14ac:dyDescent="0.35">
      <c r="B28" s="102" t="s">
        <v>38</v>
      </c>
      <c r="C28" s="103" t="s">
        <v>39</v>
      </c>
      <c r="D28" s="15"/>
    </row>
    <row r="29" spans="2:8" s="96" customFormat="1" x14ac:dyDescent="0.35">
      <c r="B29" s="102" t="s">
        <v>40</v>
      </c>
      <c r="C29" s="103" t="s">
        <v>41</v>
      </c>
      <c r="D29" s="105">
        <f>20*F29*H29</f>
        <v>0</v>
      </c>
      <c r="E29" s="103" t="s">
        <v>42</v>
      </c>
      <c r="F29" s="8"/>
      <c r="G29" s="103" t="s">
        <v>43</v>
      </c>
      <c r="H29" s="8"/>
    </row>
    <row r="30" spans="2:8" s="96" customFormat="1" x14ac:dyDescent="0.35">
      <c r="B30" s="106"/>
      <c r="C30" s="107"/>
    </row>
    <row r="31" spans="2:8" s="96" customFormat="1" x14ac:dyDescent="0.35">
      <c r="C31" s="107"/>
    </row>
    <row r="32" spans="2:8" s="96" customFormat="1" ht="15" thickBot="1" x14ac:dyDescent="0.4">
      <c r="C32" s="107"/>
    </row>
    <row r="33" spans="2:6" s="96" customFormat="1" ht="15" customHeight="1" thickBot="1" x14ac:dyDescent="0.4">
      <c r="B33" s="108"/>
      <c r="C33" s="109" t="s">
        <v>44</v>
      </c>
      <c r="D33" s="109" t="s">
        <v>45</v>
      </c>
      <c r="E33" s="109" t="s">
        <v>46</v>
      </c>
      <c r="F33" s="110" t="s">
        <v>47</v>
      </c>
    </row>
    <row r="34" spans="2:6" s="96" customFormat="1" ht="15" customHeight="1" thickBot="1" x14ac:dyDescent="0.4">
      <c r="B34" s="108" t="s">
        <v>48</v>
      </c>
      <c r="C34" s="109" t="s">
        <v>49</v>
      </c>
      <c r="D34" s="111">
        <f>'Parts Cal'!C7+'Parts Cal'!D11+'Parts Cal'!D12+'Parts Cal'!D13</f>
        <v>0</v>
      </c>
      <c r="E34" s="109">
        <v>2.91</v>
      </c>
      <c r="F34" s="112">
        <f>E34*D34*1.3</f>
        <v>0</v>
      </c>
    </row>
    <row r="35" spans="2:6" s="96" customFormat="1" x14ac:dyDescent="0.35">
      <c r="B35" s="284" t="s">
        <v>50</v>
      </c>
      <c r="C35" s="113" t="s">
        <v>51</v>
      </c>
      <c r="D35" s="9"/>
      <c r="E35" s="114">
        <v>200</v>
      </c>
      <c r="F35" s="115">
        <f>E35*D35</f>
        <v>0</v>
      </c>
    </row>
    <row r="36" spans="2:6" s="96" customFormat="1" x14ac:dyDescent="0.35">
      <c r="B36" s="285"/>
      <c r="C36" s="95" t="s">
        <v>52</v>
      </c>
      <c r="D36" s="4"/>
      <c r="E36" s="97">
        <v>300</v>
      </c>
      <c r="F36" s="116">
        <f t="shared" ref="F36:F52" si="0">E36*D36</f>
        <v>0</v>
      </c>
    </row>
    <row r="37" spans="2:6" s="96" customFormat="1" ht="15" thickBot="1" x14ac:dyDescent="0.4">
      <c r="B37" s="286"/>
      <c r="C37" s="117" t="s">
        <v>53</v>
      </c>
      <c r="D37" s="10"/>
      <c r="E37" s="118">
        <v>75</v>
      </c>
      <c r="F37" s="119">
        <f t="shared" si="0"/>
        <v>0</v>
      </c>
    </row>
    <row r="38" spans="2:6" s="96" customFormat="1" x14ac:dyDescent="0.35">
      <c r="B38" s="284" t="s">
        <v>54</v>
      </c>
      <c r="C38" s="113" t="s">
        <v>55</v>
      </c>
      <c r="D38" s="9"/>
      <c r="E38" s="114">
        <v>35</v>
      </c>
      <c r="F38" s="115">
        <f t="shared" si="0"/>
        <v>0</v>
      </c>
    </row>
    <row r="39" spans="2:6" s="96" customFormat="1" x14ac:dyDescent="0.35">
      <c r="B39" s="285"/>
      <c r="C39" s="95" t="s">
        <v>56</v>
      </c>
      <c r="D39" s="4"/>
      <c r="E39" s="4"/>
      <c r="F39" s="116">
        <f t="shared" si="0"/>
        <v>0</v>
      </c>
    </row>
    <row r="40" spans="2:6" s="96" customFormat="1" x14ac:dyDescent="0.35">
      <c r="B40" s="285"/>
      <c r="C40" s="95" t="s">
        <v>57</v>
      </c>
      <c r="D40" s="4"/>
      <c r="E40" s="4"/>
      <c r="F40" s="116">
        <f t="shared" si="0"/>
        <v>0</v>
      </c>
    </row>
    <row r="41" spans="2:6" s="96" customFormat="1" ht="32.25" customHeight="1" x14ac:dyDescent="0.35">
      <c r="B41" s="285"/>
      <c r="C41" s="102" t="s">
        <v>257</v>
      </c>
      <c r="D41" s="4"/>
      <c r="E41" s="95">
        <v>150</v>
      </c>
      <c r="F41" s="116">
        <f t="shared" si="0"/>
        <v>0</v>
      </c>
    </row>
    <row r="42" spans="2:6" s="96" customFormat="1" x14ac:dyDescent="0.35">
      <c r="B42" s="285"/>
      <c r="C42" s="4"/>
      <c r="D42" s="4"/>
      <c r="E42" s="4"/>
      <c r="F42" s="116">
        <f t="shared" si="0"/>
        <v>0</v>
      </c>
    </row>
    <row r="43" spans="2:6" s="96" customFormat="1" x14ac:dyDescent="0.35">
      <c r="B43" s="285"/>
      <c r="C43" s="4"/>
      <c r="D43" s="4"/>
      <c r="E43" s="4"/>
      <c r="F43" s="116">
        <f t="shared" si="0"/>
        <v>0</v>
      </c>
    </row>
    <row r="44" spans="2:6" s="96" customFormat="1" ht="15" thickBot="1" x14ac:dyDescent="0.4">
      <c r="B44" s="286"/>
      <c r="C44" s="10"/>
      <c r="D44" s="10"/>
      <c r="E44" s="10"/>
      <c r="F44" s="119">
        <f t="shared" si="0"/>
        <v>0</v>
      </c>
    </row>
    <row r="45" spans="2:6" s="96" customFormat="1" x14ac:dyDescent="0.35">
      <c r="B45" s="284" t="s">
        <v>58</v>
      </c>
      <c r="C45" s="113" t="s">
        <v>59</v>
      </c>
      <c r="D45" s="9"/>
      <c r="E45" s="114">
        <v>50</v>
      </c>
      <c r="F45" s="115">
        <f t="shared" si="0"/>
        <v>0</v>
      </c>
    </row>
    <row r="46" spans="2:6" s="96" customFormat="1" x14ac:dyDescent="0.35">
      <c r="B46" s="285"/>
      <c r="C46" s="95" t="s">
        <v>60</v>
      </c>
      <c r="D46" s="4"/>
      <c r="E46" s="97">
        <v>175</v>
      </c>
      <c r="F46" s="116">
        <f t="shared" si="0"/>
        <v>0</v>
      </c>
    </row>
    <row r="47" spans="2:6" s="96" customFormat="1" ht="15" thickBot="1" x14ac:dyDescent="0.4">
      <c r="B47" s="286"/>
      <c r="C47" s="117" t="s">
        <v>61</v>
      </c>
      <c r="D47" s="10"/>
      <c r="E47" s="118">
        <v>175</v>
      </c>
      <c r="F47" s="119">
        <f t="shared" si="0"/>
        <v>0</v>
      </c>
    </row>
    <row r="48" spans="2:6" s="96" customFormat="1" ht="29" x14ac:dyDescent="0.35">
      <c r="B48" s="287" t="s">
        <v>62</v>
      </c>
      <c r="C48" s="120" t="s">
        <v>63</v>
      </c>
      <c r="D48" s="11"/>
      <c r="E48" s="121">
        <v>1.54</v>
      </c>
      <c r="F48" s="122">
        <f>E48*D48</f>
        <v>0</v>
      </c>
    </row>
    <row r="49" spans="1:684" s="96" customFormat="1" ht="29" x14ac:dyDescent="0.35">
      <c r="B49" s="287"/>
      <c r="C49" s="120" t="s">
        <v>64</v>
      </c>
      <c r="D49" s="11"/>
      <c r="E49" s="121">
        <v>26</v>
      </c>
      <c r="F49" s="122">
        <f t="shared" si="0"/>
        <v>0</v>
      </c>
    </row>
    <row r="50" spans="1:684" s="96" customFormat="1" ht="29" x14ac:dyDescent="0.35">
      <c r="B50" s="287"/>
      <c r="C50" s="120" t="s">
        <v>65</v>
      </c>
      <c r="D50" s="11"/>
      <c r="E50" s="121">
        <v>22</v>
      </c>
      <c r="F50" s="122">
        <f t="shared" si="0"/>
        <v>0</v>
      </c>
    </row>
    <row r="51" spans="1:684" s="96" customFormat="1" x14ac:dyDescent="0.35">
      <c r="B51" s="285"/>
      <c r="C51" s="4"/>
      <c r="D51" s="4"/>
      <c r="E51" s="4"/>
      <c r="F51" s="116">
        <f t="shared" si="0"/>
        <v>0</v>
      </c>
    </row>
    <row r="52" spans="1:684" s="96" customFormat="1" ht="15" thickBot="1" x14ac:dyDescent="0.4">
      <c r="B52" s="286"/>
      <c r="C52" s="10"/>
      <c r="D52" s="10"/>
      <c r="E52" s="10"/>
      <c r="F52" s="119">
        <f t="shared" si="0"/>
        <v>0</v>
      </c>
    </row>
    <row r="53" spans="1:684" s="96" customFormat="1" x14ac:dyDescent="0.35">
      <c r="B53" s="88"/>
      <c r="C53" s="88"/>
      <c r="D53" s="88"/>
      <c r="E53" s="106"/>
      <c r="F53" s="106"/>
    </row>
    <row r="54" spans="1:684" s="275" customFormat="1" ht="31.5" customHeight="1" thickBot="1" x14ac:dyDescent="0.4">
      <c r="A54" s="273" t="s">
        <v>272</v>
      </c>
      <c r="B54" s="273" t="s">
        <v>273</v>
      </c>
      <c r="C54" s="273" t="s">
        <v>45</v>
      </c>
      <c r="D54" s="273" t="s">
        <v>274</v>
      </c>
      <c r="E54" s="273" t="s">
        <v>275</v>
      </c>
      <c r="F54" s="273" t="s">
        <v>276</v>
      </c>
      <c r="G54" s="274" t="s">
        <v>277</v>
      </c>
      <c r="J54" s="276"/>
    </row>
    <row r="55" spans="1:684" s="275" customFormat="1" ht="24.75" customHeight="1" thickBot="1" x14ac:dyDescent="0.4">
      <c r="A55" s="277" t="str">
        <f>(LEFT(G55,10))</f>
        <v>0000</v>
      </c>
      <c r="B55" s="278" t="str">
        <f>IF(A55="0000", " ",VLOOKUP(A55,#REF!,3,FALSE))</f>
        <v xml:space="preserve"> </v>
      </c>
      <c r="C55" s="279">
        <v>0</v>
      </c>
      <c r="D55" s="278" t="str">
        <f>IF(A55="0000", " ",VLOOKUP(A55,#REF!,11,FALSE))</f>
        <v xml:space="preserve"> </v>
      </c>
      <c r="E55" s="278">
        <f>IF(C55&lt;0, " ",C55*J55)</f>
        <v>0</v>
      </c>
      <c r="F55" s="278">
        <f>C55*K55</f>
        <v>0</v>
      </c>
      <c r="G55" s="294" t="s">
        <v>278</v>
      </c>
      <c r="H55" s="295"/>
      <c r="I55" s="280" t="s">
        <v>279</v>
      </c>
      <c r="J55" s="281" t="s">
        <v>234</v>
      </c>
      <c r="K55" s="282" t="s">
        <v>234</v>
      </c>
      <c r="L55" s="283"/>
      <c r="M55" s="283"/>
      <c r="Z55" s="275">
        <v>10</v>
      </c>
    </row>
    <row r="56" spans="1:684" s="275" customFormat="1" ht="24.75" customHeight="1" thickBot="1" x14ac:dyDescent="0.4">
      <c r="A56" s="277" t="str">
        <f>(LEFT(G56,10))</f>
        <v>0000</v>
      </c>
      <c r="B56" s="278" t="str">
        <f>IF(A56="0000", " ",VLOOKUP(A56,#REF!,3,FALSE))</f>
        <v xml:space="preserve"> </v>
      </c>
      <c r="C56" s="279"/>
      <c r="D56" s="278" t="str">
        <f>IF(A56="0000", " ",VLOOKUP(A56,#REF!,11,FALSE))</f>
        <v xml:space="preserve"> </v>
      </c>
      <c r="E56" s="278">
        <f>IF(C56&lt;0, " ",C56*J56)</f>
        <v>0</v>
      </c>
      <c r="F56" s="278">
        <f t="shared" ref="F56:F64" si="1">C56*K56</f>
        <v>0</v>
      </c>
      <c r="G56" s="294" t="s">
        <v>278</v>
      </c>
      <c r="H56" s="295"/>
      <c r="J56" s="281" t="s">
        <v>234</v>
      </c>
      <c r="K56" s="282" t="s">
        <v>234</v>
      </c>
      <c r="Z56" s="275">
        <v>10</v>
      </c>
    </row>
    <row r="57" spans="1:684" s="275" customFormat="1" ht="24.75" customHeight="1" thickBot="1" x14ac:dyDescent="0.4">
      <c r="A57" s="277" t="str">
        <f t="shared" ref="A57:A65" si="2">(LEFT(G57,10))</f>
        <v>0000</v>
      </c>
      <c r="B57" s="278" t="str">
        <f>IF(A57="0000", " ",VLOOKUP(A57,#REF!,3,FALSE))</f>
        <v xml:space="preserve"> </v>
      </c>
      <c r="C57" s="279"/>
      <c r="D57" s="278" t="str">
        <f>IF(A57="0000", " ",VLOOKUP(A57,#REF!,11,FALSE))</f>
        <v xml:space="preserve"> </v>
      </c>
      <c r="E57" s="278">
        <f t="shared" ref="E57:E64" si="3">IF(C57&lt;0, " ",C57*J57)</f>
        <v>0</v>
      </c>
      <c r="F57" s="278">
        <f t="shared" si="1"/>
        <v>0</v>
      </c>
      <c r="G57" s="294" t="s">
        <v>278</v>
      </c>
      <c r="H57" s="295"/>
      <c r="J57" s="281" t="s">
        <v>234</v>
      </c>
      <c r="K57" s="282" t="s">
        <v>234</v>
      </c>
      <c r="Z57" s="275">
        <v>21</v>
      </c>
      <c r="ZH57" s="275">
        <v>11</v>
      </c>
    </row>
    <row r="58" spans="1:684" s="275" customFormat="1" ht="21.75" customHeight="1" thickBot="1" x14ac:dyDescent="0.4">
      <c r="A58" s="277" t="str">
        <f t="shared" si="2"/>
        <v>0000</v>
      </c>
      <c r="B58" s="278" t="str">
        <f>IF(A58="0000", " ",VLOOKUP(A58,#REF!,3,FALSE))</f>
        <v xml:space="preserve"> </v>
      </c>
      <c r="C58" s="279"/>
      <c r="D58" s="278" t="str">
        <f>IF(A58="0000", " ",VLOOKUP(A58,#REF!,11,FALSE))</f>
        <v xml:space="preserve"> </v>
      </c>
      <c r="E58" s="278">
        <f t="shared" si="3"/>
        <v>0</v>
      </c>
      <c r="F58" s="278">
        <f t="shared" si="1"/>
        <v>0</v>
      </c>
      <c r="G58" s="294" t="s">
        <v>278</v>
      </c>
      <c r="H58" s="295"/>
      <c r="J58" s="281" t="s">
        <v>234</v>
      </c>
      <c r="K58" s="282" t="s">
        <v>234</v>
      </c>
    </row>
    <row r="59" spans="1:684" s="275" customFormat="1" ht="21" customHeight="1" thickBot="1" x14ac:dyDescent="0.4">
      <c r="A59" s="277" t="str">
        <f t="shared" si="2"/>
        <v>0000</v>
      </c>
      <c r="B59" s="278" t="str">
        <f>IF(A59="0000", " ",VLOOKUP(A59,#REF!,3,FALSE))</f>
        <v xml:space="preserve"> </v>
      </c>
      <c r="C59" s="279"/>
      <c r="D59" s="278" t="str">
        <f>IF(A59="0000", " ",VLOOKUP(A59,#REF!,11,FALSE))</f>
        <v xml:space="preserve"> </v>
      </c>
      <c r="E59" s="278">
        <f t="shared" si="3"/>
        <v>0</v>
      </c>
      <c r="F59" s="278">
        <f t="shared" si="1"/>
        <v>0</v>
      </c>
      <c r="G59" s="294" t="s">
        <v>278</v>
      </c>
      <c r="H59" s="295"/>
      <c r="J59" s="281" t="s">
        <v>234</v>
      </c>
      <c r="K59" s="282" t="s">
        <v>234</v>
      </c>
    </row>
    <row r="60" spans="1:684" s="275" customFormat="1" ht="24" customHeight="1" thickBot="1" x14ac:dyDescent="0.4">
      <c r="A60" s="277" t="str">
        <f t="shared" si="2"/>
        <v>0000</v>
      </c>
      <c r="B60" s="278" t="str">
        <f>IF(A60="0000", " ",VLOOKUP(A60,#REF!,3,FALSE))</f>
        <v xml:space="preserve"> </v>
      </c>
      <c r="C60" s="279"/>
      <c r="D60" s="278" t="str">
        <f>IF(A60="0000", " ",VLOOKUP(A60,#REF!,11,FALSE))</f>
        <v xml:space="preserve"> </v>
      </c>
      <c r="E60" s="278">
        <f t="shared" si="3"/>
        <v>0</v>
      </c>
      <c r="F60" s="278">
        <f t="shared" si="1"/>
        <v>0</v>
      </c>
      <c r="G60" s="294" t="s">
        <v>278</v>
      </c>
      <c r="H60" s="295"/>
      <c r="J60" s="281" t="s">
        <v>234</v>
      </c>
      <c r="K60" s="282" t="s">
        <v>234</v>
      </c>
    </row>
    <row r="61" spans="1:684" s="275" customFormat="1" ht="21" customHeight="1" thickBot="1" x14ac:dyDescent="0.4">
      <c r="A61" s="277" t="str">
        <f t="shared" si="2"/>
        <v>0000</v>
      </c>
      <c r="B61" s="278" t="str">
        <f>IF(A61="0000", " ",VLOOKUP(A61,#REF!,3,FALSE))</f>
        <v xml:space="preserve"> </v>
      </c>
      <c r="C61" s="279"/>
      <c r="D61" s="278" t="str">
        <f>IF(A61="0000", " ",VLOOKUP(A61,#REF!,11,FALSE))</f>
        <v xml:space="preserve"> </v>
      </c>
      <c r="E61" s="278">
        <f t="shared" si="3"/>
        <v>0</v>
      </c>
      <c r="F61" s="278">
        <f t="shared" si="1"/>
        <v>0</v>
      </c>
      <c r="G61" s="294" t="s">
        <v>278</v>
      </c>
      <c r="H61" s="295"/>
      <c r="J61" s="281" t="s">
        <v>234</v>
      </c>
      <c r="K61" s="282" t="s">
        <v>234</v>
      </c>
    </row>
    <row r="62" spans="1:684" s="275" customFormat="1" ht="22.5" customHeight="1" thickBot="1" x14ac:dyDescent="0.4">
      <c r="A62" s="277" t="str">
        <f t="shared" si="2"/>
        <v>0000</v>
      </c>
      <c r="B62" s="278" t="str">
        <f>IF(A62="0000", " ",VLOOKUP(A62,#REF!,3,FALSE))</f>
        <v xml:space="preserve"> </v>
      </c>
      <c r="C62" s="279"/>
      <c r="D62" s="278" t="str">
        <f>IF(A62="0000", " ",VLOOKUP(A62,#REF!,11,FALSE))</f>
        <v xml:space="preserve"> </v>
      </c>
      <c r="E62" s="278">
        <f t="shared" si="3"/>
        <v>0</v>
      </c>
      <c r="F62" s="278">
        <f t="shared" si="1"/>
        <v>0</v>
      </c>
      <c r="G62" s="294" t="s">
        <v>278</v>
      </c>
      <c r="H62" s="295"/>
      <c r="J62" s="281" t="s">
        <v>234</v>
      </c>
      <c r="K62" s="282" t="s">
        <v>234</v>
      </c>
    </row>
    <row r="63" spans="1:684" s="275" customFormat="1" ht="23.25" customHeight="1" thickBot="1" x14ac:dyDescent="0.4">
      <c r="A63" s="277" t="str">
        <f t="shared" si="2"/>
        <v>0000</v>
      </c>
      <c r="B63" s="278" t="str">
        <f>IF(A63="0000", " ",VLOOKUP(A63,#REF!,3,FALSE))</f>
        <v xml:space="preserve"> </v>
      </c>
      <c r="C63" s="279"/>
      <c r="D63" s="278" t="str">
        <f>IF(A63="0000", " ",VLOOKUP(A63,#REF!,11,FALSE))</f>
        <v xml:space="preserve"> </v>
      </c>
      <c r="E63" s="278">
        <f t="shared" si="3"/>
        <v>0</v>
      </c>
      <c r="F63" s="278">
        <f t="shared" si="1"/>
        <v>0</v>
      </c>
      <c r="G63" s="294" t="s">
        <v>278</v>
      </c>
      <c r="H63" s="295"/>
      <c r="J63" s="281" t="s">
        <v>234</v>
      </c>
      <c r="K63" s="282" t="s">
        <v>234</v>
      </c>
    </row>
    <row r="64" spans="1:684" s="275" customFormat="1" ht="23.25" customHeight="1" x14ac:dyDescent="0.35">
      <c r="A64" s="277" t="str">
        <f t="shared" si="2"/>
        <v>0000</v>
      </c>
      <c r="B64" s="278" t="str">
        <f>IF(A64="0000", " ",VLOOKUP(A64,#REF!,3,FALSE))</f>
        <v xml:space="preserve"> </v>
      </c>
      <c r="C64" s="279"/>
      <c r="D64" s="278" t="str">
        <f>IF(A64="0000", " ",VLOOKUP(A64,#REF!,11,FALSE))</f>
        <v xml:space="preserve"> </v>
      </c>
      <c r="E64" s="278">
        <f t="shared" si="3"/>
        <v>0</v>
      </c>
      <c r="F64" s="278">
        <f t="shared" si="1"/>
        <v>0</v>
      </c>
      <c r="G64" s="294" t="s">
        <v>278</v>
      </c>
      <c r="H64" s="295"/>
      <c r="J64" s="281" t="s">
        <v>234</v>
      </c>
      <c r="K64" s="282" t="s">
        <v>234</v>
      </c>
    </row>
    <row r="65" spans="1:10" customFormat="1" x14ac:dyDescent="0.35">
      <c r="A65" s="269" t="str">
        <f t="shared" si="2"/>
        <v/>
      </c>
      <c r="E65" s="270" t="s">
        <v>280</v>
      </c>
      <c r="F65" s="270"/>
      <c r="H65" s="271" t="s">
        <v>279</v>
      </c>
      <c r="J65" s="272"/>
    </row>
    <row r="66" spans="1:10" s="96" customFormat="1" ht="15" thickBot="1" x14ac:dyDescent="0.4">
      <c r="B66" s="88"/>
      <c r="C66" s="88"/>
      <c r="D66" s="88"/>
      <c r="E66" s="88"/>
      <c r="F66" s="88"/>
    </row>
    <row r="67" spans="1:10" s="96" customFormat="1" x14ac:dyDescent="0.35">
      <c r="C67" s="123" t="s">
        <v>66</v>
      </c>
      <c r="D67" s="124">
        <f>(D17+D18+D19+D20+D21+D22+D23+D24+D25+D26+D27+D28+D29+F35+F36+F37+F38+F39+F40+F41+F43+F42+F44+F45+F46+F47+F48+F51+F52+F49+F50+F34)</f>
        <v>0</v>
      </c>
    </row>
    <row r="68" spans="1:10" s="96" customFormat="1" x14ac:dyDescent="0.35">
      <c r="B68" s="88"/>
      <c r="C68" s="125" t="s">
        <v>67</v>
      </c>
      <c r="D68" s="12"/>
      <c r="E68" s="88"/>
      <c r="F68" s="88"/>
    </row>
    <row r="69" spans="1:10" s="96" customFormat="1" x14ac:dyDescent="0.35">
      <c r="C69" s="126" t="s">
        <v>68</v>
      </c>
      <c r="D69" s="127">
        <f>D67*D68</f>
        <v>0</v>
      </c>
    </row>
    <row r="70" spans="1:10" ht="15" thickBot="1" x14ac:dyDescent="0.4">
      <c r="C70" s="128" t="s">
        <v>69</v>
      </c>
      <c r="D70" s="13"/>
    </row>
  </sheetData>
  <mergeCells count="20">
    <mergeCell ref="G60:H60"/>
    <mergeCell ref="G61:H61"/>
    <mergeCell ref="G62:H62"/>
    <mergeCell ref="G63:H63"/>
    <mergeCell ref="G64:H64"/>
    <mergeCell ref="G55:H55"/>
    <mergeCell ref="G56:H56"/>
    <mergeCell ref="G57:H57"/>
    <mergeCell ref="G58:H58"/>
    <mergeCell ref="G59:H59"/>
    <mergeCell ref="B35:B37"/>
    <mergeCell ref="B38:B44"/>
    <mergeCell ref="B45:B47"/>
    <mergeCell ref="B48:B52"/>
    <mergeCell ref="B1:E1"/>
    <mergeCell ref="C2:G2"/>
    <mergeCell ref="C3:G3"/>
    <mergeCell ref="C4:G4"/>
    <mergeCell ref="C8:G8"/>
    <mergeCell ref="C9:G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G26" sqref="G2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268"/>
  <sheetViews>
    <sheetView topLeftCell="A13" workbookViewId="0">
      <selection activeCell="E11" sqref="E11"/>
    </sheetView>
  </sheetViews>
  <sheetFormatPr defaultColWidth="9.1796875" defaultRowHeight="14.5" x14ac:dyDescent="0.35"/>
  <cols>
    <col min="1" max="1" width="9.1796875" style="129"/>
    <col min="2" max="2" width="33" style="129" customWidth="1"/>
    <col min="3" max="3" width="10.1796875" style="129" customWidth="1"/>
    <col min="4" max="4" width="9.1796875" style="129"/>
    <col min="5" max="5" width="10.453125" style="129" bestFit="1" customWidth="1"/>
    <col min="6" max="6" width="14.26953125" style="129" customWidth="1"/>
    <col min="7" max="8" width="9.1796875" style="129"/>
    <col min="9" max="10" width="14.81640625" style="129" customWidth="1"/>
    <col min="11" max="11" width="22.54296875" style="129" customWidth="1"/>
    <col min="12" max="12" width="27" style="129" customWidth="1"/>
    <col min="13" max="16384" width="9.1796875" style="129"/>
  </cols>
  <sheetData>
    <row r="1" spans="1:5" ht="15" thickBot="1" x14ac:dyDescent="0.4">
      <c r="B1" s="130"/>
    </row>
    <row r="2" spans="1:5" x14ac:dyDescent="0.35">
      <c r="B2" s="131" t="s">
        <v>70</v>
      </c>
      <c r="C2" s="132">
        <f>'General info'!C12</f>
        <v>0</v>
      </c>
      <c r="D2" s="129" t="s">
        <v>71</v>
      </c>
    </row>
    <row r="3" spans="1:5" x14ac:dyDescent="0.35">
      <c r="B3" s="133" t="s">
        <v>72</v>
      </c>
      <c r="C3" s="134">
        <f>'General info'!C13</f>
        <v>0</v>
      </c>
      <c r="D3" s="129" t="s">
        <v>73</v>
      </c>
    </row>
    <row r="4" spans="1:5" x14ac:dyDescent="0.35">
      <c r="B4" s="133" t="s">
        <v>74</v>
      </c>
      <c r="C4" s="135">
        <f>C2*3.142</f>
        <v>0</v>
      </c>
      <c r="D4" s="129" t="s">
        <v>73</v>
      </c>
    </row>
    <row r="5" spans="1:5" x14ac:dyDescent="0.35">
      <c r="B5" s="133" t="s">
        <v>75</v>
      </c>
      <c r="C5" s="135">
        <f>(((C2+0.4)/2)*(C2+0.4)/2)*3.142</f>
        <v>0.12568000000000001</v>
      </c>
      <c r="D5" s="129" t="s">
        <v>76</v>
      </c>
    </row>
    <row r="6" spans="1:5" x14ac:dyDescent="0.35">
      <c r="B6" s="133" t="s">
        <v>77</v>
      </c>
      <c r="C6" s="135">
        <f>C5*1.5</f>
        <v>0.18852000000000002</v>
      </c>
      <c r="D6" s="129" t="s">
        <v>76</v>
      </c>
    </row>
    <row r="7" spans="1:5" ht="15" thickBot="1" x14ac:dyDescent="0.4">
      <c r="B7" s="136" t="s">
        <v>78</v>
      </c>
      <c r="C7" s="137">
        <f>(3.142*C2)*C3</f>
        <v>0</v>
      </c>
      <c r="D7" s="129" t="s">
        <v>76</v>
      </c>
    </row>
    <row r="8" spans="1:5" x14ac:dyDescent="0.35">
      <c r="B8" s="130"/>
      <c r="C8" s="138"/>
    </row>
    <row r="9" spans="1:5" x14ac:dyDescent="0.35">
      <c r="A9" s="139" t="s">
        <v>13</v>
      </c>
      <c r="B9" s="140" t="s">
        <v>14</v>
      </c>
      <c r="C9" s="141" t="s">
        <v>79</v>
      </c>
      <c r="D9" s="139" t="s">
        <v>80</v>
      </c>
    </row>
    <row r="10" spans="1:5" x14ac:dyDescent="0.35">
      <c r="A10" s="317" t="s">
        <v>81</v>
      </c>
      <c r="B10" s="318"/>
      <c r="C10" s="318"/>
      <c r="D10" s="319"/>
    </row>
    <row r="11" spans="1:5" ht="30" customHeight="1" x14ac:dyDescent="0.35">
      <c r="A11" s="142" t="s">
        <v>16</v>
      </c>
      <c r="B11" s="140" t="s">
        <v>17</v>
      </c>
      <c r="C11" s="15"/>
      <c r="D11" s="141">
        <f>C5*C11</f>
        <v>0</v>
      </c>
      <c r="E11" s="129" t="s">
        <v>76</v>
      </c>
    </row>
    <row r="12" spans="1:5" ht="30" customHeight="1" x14ac:dyDescent="0.35">
      <c r="A12" s="142" t="s">
        <v>18</v>
      </c>
      <c r="B12" s="140" t="s">
        <v>19</v>
      </c>
      <c r="C12" s="15">
        <v>0</v>
      </c>
      <c r="D12" s="141">
        <f>C5*C12</f>
        <v>0</v>
      </c>
      <c r="E12" s="129" t="s">
        <v>76</v>
      </c>
    </row>
    <row r="13" spans="1:5" x14ac:dyDescent="0.35">
      <c r="A13" s="142" t="s">
        <v>20</v>
      </c>
      <c r="B13" s="140" t="s">
        <v>21</v>
      </c>
      <c r="C13" s="15"/>
      <c r="D13" s="141">
        <f>C6*C13</f>
        <v>0</v>
      </c>
      <c r="E13" s="129" t="s">
        <v>76</v>
      </c>
    </row>
    <row r="14" spans="1:5" x14ac:dyDescent="0.35">
      <c r="A14" s="142" t="s">
        <v>22</v>
      </c>
      <c r="B14" s="140" t="s">
        <v>23</v>
      </c>
      <c r="C14" s="15"/>
      <c r="D14" s="141">
        <f>C5*C14*1.2</f>
        <v>0</v>
      </c>
      <c r="E14" s="129" t="s">
        <v>76</v>
      </c>
    </row>
    <row r="15" spans="1:5" x14ac:dyDescent="0.35">
      <c r="A15" s="142" t="s">
        <v>24</v>
      </c>
      <c r="B15" s="140" t="s">
        <v>25</v>
      </c>
      <c r="C15" s="15"/>
      <c r="D15" s="141">
        <f>(C4*0.3)*C15</f>
        <v>0</v>
      </c>
      <c r="E15" s="129" t="s">
        <v>76</v>
      </c>
    </row>
    <row r="16" spans="1:5" ht="15" customHeight="1" x14ac:dyDescent="0.35">
      <c r="A16" s="142" t="s">
        <v>26</v>
      </c>
      <c r="B16" s="140" t="s">
        <v>27</v>
      </c>
      <c r="C16" s="15"/>
      <c r="D16" s="141">
        <f>C4*C16</f>
        <v>0</v>
      </c>
      <c r="E16" s="129" t="s">
        <v>73</v>
      </c>
    </row>
    <row r="17" spans="1:10" x14ac:dyDescent="0.35">
      <c r="A17" s="318" t="s">
        <v>82</v>
      </c>
      <c r="B17" s="318"/>
      <c r="C17" s="318"/>
    </row>
    <row r="18" spans="1:10" x14ac:dyDescent="0.35">
      <c r="A18" s="142"/>
      <c r="B18" s="140" t="s">
        <v>29</v>
      </c>
      <c r="C18" s="16">
        <v>0</v>
      </c>
    </row>
    <row r="19" spans="1:10" x14ac:dyDescent="0.35">
      <c r="A19" s="142" t="s">
        <v>28</v>
      </c>
      <c r="B19" s="140" t="s">
        <v>83</v>
      </c>
      <c r="C19" s="141">
        <f>C18*C4*(C11+C12)</f>
        <v>0</v>
      </c>
    </row>
    <row r="20" spans="1:10" x14ac:dyDescent="0.35">
      <c r="A20" s="142"/>
      <c r="B20" s="140" t="s">
        <v>31</v>
      </c>
      <c r="C20" s="16"/>
    </row>
    <row r="21" spans="1:10" x14ac:dyDescent="0.35">
      <c r="A21" s="142" t="s">
        <v>30</v>
      </c>
      <c r="B21" s="140" t="s">
        <v>84</v>
      </c>
      <c r="C21" s="141">
        <f>C20*C4*C13</f>
        <v>0</v>
      </c>
    </row>
    <row r="22" spans="1:10" x14ac:dyDescent="0.35">
      <c r="A22" s="142"/>
      <c r="B22" s="140" t="s">
        <v>33</v>
      </c>
      <c r="C22" s="16">
        <v>0</v>
      </c>
    </row>
    <row r="23" spans="1:10" x14ac:dyDescent="0.35">
      <c r="A23" s="142" t="s">
        <v>32</v>
      </c>
      <c r="B23" s="140" t="s">
        <v>85</v>
      </c>
      <c r="C23" s="141">
        <f>C22*C4*(C11+C13)</f>
        <v>0</v>
      </c>
    </row>
    <row r="24" spans="1:10" x14ac:dyDescent="0.35">
      <c r="A24" s="142"/>
      <c r="B24" s="140" t="s">
        <v>35</v>
      </c>
      <c r="C24" s="16"/>
    </row>
    <row r="25" spans="1:10" x14ac:dyDescent="0.35">
      <c r="A25" s="142" t="s">
        <v>34</v>
      </c>
      <c r="B25" s="140" t="s">
        <v>86</v>
      </c>
      <c r="C25" s="141">
        <f>C24*C4*(C14+C15)</f>
        <v>0</v>
      </c>
    </row>
    <row r="26" spans="1:10" x14ac:dyDescent="0.35">
      <c r="A26" s="142"/>
      <c r="B26" s="140" t="s">
        <v>37</v>
      </c>
      <c r="C26" s="16"/>
    </row>
    <row r="27" spans="1:10" x14ac:dyDescent="0.35">
      <c r="A27" s="142" t="s">
        <v>36</v>
      </c>
      <c r="B27" s="140" t="s">
        <v>87</v>
      </c>
      <c r="C27" s="141">
        <f>C26*C4*C16</f>
        <v>0</v>
      </c>
    </row>
    <row r="28" spans="1:10" s="2" customFormat="1" x14ac:dyDescent="0.35"/>
    <row r="29" spans="1:10" s="2" customFormat="1" ht="15" thickBot="1" x14ac:dyDescent="0.4"/>
    <row r="30" spans="1:10" x14ac:dyDescent="0.35">
      <c r="A30" s="305" t="s">
        <v>88</v>
      </c>
      <c r="B30" s="309" t="s">
        <v>89</v>
      </c>
      <c r="C30" s="309"/>
      <c r="D30" s="309"/>
      <c r="E30" s="309"/>
      <c r="F30" s="309"/>
      <c r="G30" s="309"/>
      <c r="H30" s="309"/>
      <c r="I30" s="309"/>
      <c r="J30" s="310"/>
    </row>
    <row r="31" spans="1:10" ht="40" thickBot="1" x14ac:dyDescent="0.4">
      <c r="A31" s="306"/>
      <c r="B31" s="143" t="s">
        <v>90</v>
      </c>
      <c r="C31" s="144" t="s">
        <v>91</v>
      </c>
      <c r="D31" s="145" t="s">
        <v>92</v>
      </c>
      <c r="E31" s="146" t="s">
        <v>93</v>
      </c>
      <c r="F31" s="147" t="s">
        <v>94</v>
      </c>
      <c r="G31" s="148" t="s">
        <v>95</v>
      </c>
      <c r="H31" s="148" t="s">
        <v>247</v>
      </c>
      <c r="I31" s="148" t="s">
        <v>248</v>
      </c>
      <c r="J31" s="148" t="s">
        <v>98</v>
      </c>
    </row>
    <row r="32" spans="1:10" ht="15" thickBot="1" x14ac:dyDescent="0.4">
      <c r="A32" s="307"/>
      <c r="B32" s="149" t="s">
        <v>99</v>
      </c>
      <c r="C32" s="17">
        <v>1</v>
      </c>
      <c r="D32" s="151" t="s">
        <v>100</v>
      </c>
      <c r="E32" s="152">
        <v>2.97</v>
      </c>
      <c r="F32" s="153">
        <v>0.75</v>
      </c>
      <c r="G32" s="154" t="s">
        <v>101</v>
      </c>
      <c r="H32" s="155">
        <f>F32*C32</f>
        <v>0.75</v>
      </c>
      <c r="I32" s="153">
        <v>0</v>
      </c>
      <c r="J32" s="156">
        <f>H32*E32</f>
        <v>2.2275</v>
      </c>
    </row>
    <row r="33" spans="1:18" ht="15.5" thickTop="1" thickBot="1" x14ac:dyDescent="0.4">
      <c r="A33" s="307"/>
      <c r="B33" s="157" t="s">
        <v>102</v>
      </c>
      <c r="C33" s="18"/>
      <c r="D33" s="159" t="s">
        <v>100</v>
      </c>
      <c r="E33" s="160">
        <v>3.51</v>
      </c>
      <c r="F33" s="161">
        <v>0.75</v>
      </c>
      <c r="G33" s="162" t="s">
        <v>101</v>
      </c>
      <c r="H33" s="163">
        <f t="shared" ref="H33:H46" si="0">F33*C33</f>
        <v>0</v>
      </c>
      <c r="I33" s="161">
        <v>0</v>
      </c>
      <c r="J33" s="164">
        <f>H33*E33</f>
        <v>0</v>
      </c>
      <c r="L33" s="165" t="s">
        <v>103</v>
      </c>
      <c r="M33" s="166">
        <f>D11</f>
        <v>0</v>
      </c>
      <c r="O33" s="302" t="s">
        <v>253</v>
      </c>
      <c r="P33" s="303"/>
      <c r="Q33" s="303"/>
      <c r="R33" s="304"/>
    </row>
    <row r="34" spans="1:18" ht="15.75" customHeight="1" thickBot="1" x14ac:dyDescent="0.4">
      <c r="A34" s="307"/>
      <c r="B34" s="157" t="s">
        <v>104</v>
      </c>
      <c r="C34" s="18">
        <v>1</v>
      </c>
      <c r="D34" s="159" t="s">
        <v>100</v>
      </c>
      <c r="E34" s="160">
        <v>3.8</v>
      </c>
      <c r="F34" s="161">
        <v>0.1</v>
      </c>
      <c r="G34" s="162" t="s">
        <v>101</v>
      </c>
      <c r="H34" s="163">
        <f t="shared" si="0"/>
        <v>0.1</v>
      </c>
      <c r="I34" s="161">
        <v>0</v>
      </c>
      <c r="J34" s="164">
        <f t="shared" ref="J34:J39" si="1">H34*E34</f>
        <v>0.38</v>
      </c>
      <c r="L34" s="167" t="s">
        <v>105</v>
      </c>
      <c r="M34" s="168">
        <f>M33*10%</f>
        <v>0</v>
      </c>
      <c r="O34" s="92">
        <f>(H47+I47)*M33</f>
        <v>0</v>
      </c>
      <c r="P34" s="297" t="s">
        <v>254</v>
      </c>
      <c r="Q34" s="297"/>
      <c r="R34" s="298"/>
    </row>
    <row r="35" spans="1:18" ht="15" thickBot="1" x14ac:dyDescent="0.4">
      <c r="A35" s="307"/>
      <c r="B35" s="157" t="s">
        <v>106</v>
      </c>
      <c r="C35" s="19"/>
      <c r="D35" s="159" t="s">
        <v>76</v>
      </c>
      <c r="E35" s="160">
        <v>0.7</v>
      </c>
      <c r="F35" s="161">
        <v>0.03</v>
      </c>
      <c r="G35" s="170">
        <v>6.6000000000000003E-2</v>
      </c>
      <c r="H35" s="163">
        <f t="shared" si="0"/>
        <v>0</v>
      </c>
      <c r="I35" s="161">
        <f t="shared" ref="I35:I46" si="2">G35*C35</f>
        <v>0</v>
      </c>
      <c r="J35" s="164">
        <f t="shared" si="1"/>
        <v>0</v>
      </c>
      <c r="L35" s="171" t="s">
        <v>235</v>
      </c>
      <c r="M35" s="20">
        <v>0</v>
      </c>
      <c r="O35" s="93">
        <v>50</v>
      </c>
      <c r="P35" s="296" t="s">
        <v>255</v>
      </c>
      <c r="Q35" s="297"/>
      <c r="R35" s="298"/>
    </row>
    <row r="36" spans="1:18" ht="15.5" thickTop="1" thickBot="1" x14ac:dyDescent="0.4">
      <c r="A36" s="307"/>
      <c r="B36" s="157" t="s">
        <v>108</v>
      </c>
      <c r="C36" s="19">
        <v>1</v>
      </c>
      <c r="D36" s="159" t="s">
        <v>76</v>
      </c>
      <c r="E36" s="160">
        <v>2.65</v>
      </c>
      <c r="F36" s="161">
        <v>0.3</v>
      </c>
      <c r="G36" s="170">
        <v>0.75</v>
      </c>
      <c r="H36" s="163">
        <f t="shared" si="0"/>
        <v>0.3</v>
      </c>
      <c r="I36" s="161">
        <f t="shared" si="2"/>
        <v>0.75</v>
      </c>
      <c r="J36" s="164">
        <f t="shared" si="1"/>
        <v>0.79499999999999993</v>
      </c>
      <c r="L36" s="171" t="s">
        <v>252</v>
      </c>
      <c r="M36" s="20">
        <v>0</v>
      </c>
      <c r="O36" s="94">
        <f>O34/O35</f>
        <v>0</v>
      </c>
      <c r="P36" s="299" t="s">
        <v>256</v>
      </c>
      <c r="Q36" s="300"/>
      <c r="R36" s="301"/>
    </row>
    <row r="37" spans="1:18" ht="15" thickBot="1" x14ac:dyDescent="0.4">
      <c r="A37" s="307"/>
      <c r="B37" s="157" t="s">
        <v>110</v>
      </c>
      <c r="C37" s="19">
        <v>2</v>
      </c>
      <c r="D37" s="159" t="s">
        <v>76</v>
      </c>
      <c r="E37" s="160">
        <v>2.65</v>
      </c>
      <c r="F37" s="161">
        <v>0.45</v>
      </c>
      <c r="G37" s="170">
        <v>1</v>
      </c>
      <c r="H37" s="163">
        <f t="shared" si="0"/>
        <v>0.9</v>
      </c>
      <c r="I37" s="161">
        <f t="shared" si="2"/>
        <v>2</v>
      </c>
      <c r="J37" s="164">
        <f t="shared" si="1"/>
        <v>2.3849999999999998</v>
      </c>
      <c r="L37" s="171" t="s">
        <v>109</v>
      </c>
      <c r="M37" s="173">
        <v>22</v>
      </c>
      <c r="Q37" s="99"/>
    </row>
    <row r="38" spans="1:18" ht="15" thickBot="1" x14ac:dyDescent="0.4">
      <c r="A38" s="307"/>
      <c r="B38" s="157" t="s">
        <v>112</v>
      </c>
      <c r="C38" s="19"/>
      <c r="D38" s="159" t="s">
        <v>76</v>
      </c>
      <c r="E38" s="160">
        <v>1.1299999999999999</v>
      </c>
      <c r="F38" s="161">
        <v>0.6</v>
      </c>
      <c r="G38" s="170">
        <v>1.32</v>
      </c>
      <c r="H38" s="163">
        <f t="shared" si="0"/>
        <v>0</v>
      </c>
      <c r="I38" s="161">
        <f t="shared" si="2"/>
        <v>0</v>
      </c>
      <c r="J38" s="164">
        <f t="shared" si="1"/>
        <v>0</v>
      </c>
      <c r="L38" s="171" t="s">
        <v>111</v>
      </c>
      <c r="M38" s="173">
        <f>(M33+M34)*J50</f>
        <v>0</v>
      </c>
      <c r="N38" s="2"/>
      <c r="Q38" s="99"/>
    </row>
    <row r="39" spans="1:18" ht="15" thickBot="1" x14ac:dyDescent="0.4">
      <c r="A39" s="307"/>
      <c r="B39" s="157" t="s">
        <v>114</v>
      </c>
      <c r="C39" s="19"/>
      <c r="D39" s="159" t="s">
        <v>76</v>
      </c>
      <c r="E39" s="160">
        <v>2.65</v>
      </c>
      <c r="F39" s="161">
        <v>0.8</v>
      </c>
      <c r="G39" s="170">
        <v>1.7600000000000002</v>
      </c>
      <c r="H39" s="163">
        <f t="shared" si="0"/>
        <v>0</v>
      </c>
      <c r="I39" s="161">
        <f t="shared" si="2"/>
        <v>0</v>
      </c>
      <c r="J39" s="164">
        <f t="shared" si="1"/>
        <v>0</v>
      </c>
      <c r="L39" s="171" t="s">
        <v>113</v>
      </c>
      <c r="M39" s="173">
        <f>M35*(M36*8)*M37</f>
        <v>0</v>
      </c>
      <c r="Q39" s="99"/>
    </row>
    <row r="40" spans="1:18" ht="15" thickBot="1" x14ac:dyDescent="0.4">
      <c r="A40" s="307"/>
      <c r="B40" s="157" t="s">
        <v>116</v>
      </c>
      <c r="C40" s="19"/>
      <c r="D40" s="159" t="s">
        <v>76</v>
      </c>
      <c r="E40" s="160">
        <v>6.8</v>
      </c>
      <c r="F40" s="161">
        <v>0.5</v>
      </c>
      <c r="G40" s="170">
        <v>0.75</v>
      </c>
      <c r="H40" s="163">
        <f t="shared" si="0"/>
        <v>0</v>
      </c>
      <c r="I40" s="161">
        <f t="shared" si="2"/>
        <v>0</v>
      </c>
      <c r="J40" s="164">
        <f t="shared" ref="J40:J46" si="3">C40*E40</f>
        <v>0</v>
      </c>
      <c r="L40" s="174" t="s">
        <v>115</v>
      </c>
      <c r="M40" s="173">
        <f>(M39+M38)*1.15</f>
        <v>0</v>
      </c>
    </row>
    <row r="41" spans="1:18" x14ac:dyDescent="0.35">
      <c r="A41" s="307"/>
      <c r="B41" s="157" t="s">
        <v>117</v>
      </c>
      <c r="C41" s="19"/>
      <c r="D41" s="159" t="s">
        <v>76</v>
      </c>
      <c r="E41" s="160">
        <v>13.75</v>
      </c>
      <c r="F41" s="161">
        <v>1</v>
      </c>
      <c r="G41" s="170">
        <v>0.75</v>
      </c>
      <c r="H41" s="163">
        <f t="shared" si="0"/>
        <v>0</v>
      </c>
      <c r="I41" s="161">
        <f t="shared" si="2"/>
        <v>0</v>
      </c>
      <c r="J41" s="164">
        <f t="shared" si="3"/>
        <v>0</v>
      </c>
    </row>
    <row r="42" spans="1:18" x14ac:dyDescent="0.35">
      <c r="A42" s="307"/>
      <c r="B42" s="157" t="s">
        <v>118</v>
      </c>
      <c r="C42" s="18"/>
      <c r="D42" s="159" t="s">
        <v>76</v>
      </c>
      <c r="E42" s="160">
        <v>9.16</v>
      </c>
      <c r="F42" s="161">
        <v>1.5</v>
      </c>
      <c r="G42" s="170">
        <v>0.75</v>
      </c>
      <c r="H42" s="163">
        <f t="shared" si="0"/>
        <v>0</v>
      </c>
      <c r="I42" s="161">
        <f t="shared" si="2"/>
        <v>0</v>
      </c>
      <c r="J42" s="164">
        <f t="shared" si="3"/>
        <v>0</v>
      </c>
    </row>
    <row r="43" spans="1:18" x14ac:dyDescent="0.35">
      <c r="A43" s="307"/>
      <c r="B43" s="175"/>
      <c r="C43" s="21"/>
      <c r="D43" s="176"/>
      <c r="E43" s="177">
        <v>0</v>
      </c>
      <c r="F43" s="178">
        <v>0</v>
      </c>
      <c r="G43" s="179">
        <v>0</v>
      </c>
      <c r="H43" s="163">
        <f t="shared" si="0"/>
        <v>0</v>
      </c>
      <c r="I43" s="161">
        <f t="shared" si="2"/>
        <v>0</v>
      </c>
      <c r="J43" s="180">
        <f t="shared" si="3"/>
        <v>0</v>
      </c>
    </row>
    <row r="44" spans="1:18" x14ac:dyDescent="0.35">
      <c r="A44" s="307"/>
      <c r="B44" s="157"/>
      <c r="C44" s="19"/>
      <c r="D44" s="159"/>
      <c r="E44" s="160">
        <v>0</v>
      </c>
      <c r="F44" s="161">
        <v>0</v>
      </c>
      <c r="G44" s="170">
        <v>0</v>
      </c>
      <c r="H44" s="163">
        <f t="shared" si="0"/>
        <v>0</v>
      </c>
      <c r="I44" s="161">
        <f t="shared" si="2"/>
        <v>0</v>
      </c>
      <c r="J44" s="180">
        <f t="shared" si="3"/>
        <v>0</v>
      </c>
    </row>
    <row r="45" spans="1:18" x14ac:dyDescent="0.35">
      <c r="A45" s="307"/>
      <c r="B45" s="157"/>
      <c r="C45" s="19"/>
      <c r="D45" s="159"/>
      <c r="E45" s="160">
        <v>0</v>
      </c>
      <c r="F45" s="161">
        <v>0</v>
      </c>
      <c r="G45" s="170">
        <v>0</v>
      </c>
      <c r="H45" s="163">
        <f t="shared" si="0"/>
        <v>0</v>
      </c>
      <c r="I45" s="161">
        <f t="shared" si="2"/>
        <v>0</v>
      </c>
      <c r="J45" s="180">
        <f t="shared" si="3"/>
        <v>0</v>
      </c>
    </row>
    <row r="46" spans="1:18" ht="15" thickBot="1" x14ac:dyDescent="0.4">
      <c r="A46" s="307"/>
      <c r="B46" s="181"/>
      <c r="C46" s="25"/>
      <c r="D46" s="183"/>
      <c r="E46" s="184">
        <v>0</v>
      </c>
      <c r="F46" s="185">
        <v>0</v>
      </c>
      <c r="G46" s="186">
        <v>0</v>
      </c>
      <c r="H46" s="187">
        <f t="shared" si="0"/>
        <v>0</v>
      </c>
      <c r="I46" s="185">
        <f t="shared" si="2"/>
        <v>0</v>
      </c>
      <c r="J46" s="188">
        <f t="shared" si="3"/>
        <v>0</v>
      </c>
    </row>
    <row r="47" spans="1:18" ht="15.75" customHeight="1" thickBot="1" x14ac:dyDescent="0.4">
      <c r="A47" s="307"/>
      <c r="B47" s="189"/>
      <c r="C47" s="190"/>
      <c r="D47" s="191"/>
      <c r="E47" s="192"/>
      <c r="F47" s="191"/>
      <c r="G47" s="191"/>
      <c r="H47" s="193">
        <f>SUM(H32:H46)</f>
        <v>2.0499999999999998</v>
      </c>
      <c r="I47" s="194">
        <f>SUM(I32:I46)</f>
        <v>2.75</v>
      </c>
      <c r="J47" s="195"/>
      <c r="K47" s="196"/>
    </row>
    <row r="48" spans="1:18" x14ac:dyDescent="0.35">
      <c r="A48" s="306"/>
      <c r="B48" s="197" t="s">
        <v>121</v>
      </c>
      <c r="C48" s="18"/>
      <c r="D48" s="198" t="s">
        <v>100</v>
      </c>
      <c r="E48" s="199">
        <v>1.89</v>
      </c>
      <c r="F48" s="311" t="s">
        <v>122</v>
      </c>
      <c r="G48" s="312"/>
      <c r="H48" s="313"/>
      <c r="I48" s="200"/>
      <c r="J48" s="201">
        <f>SUM(J32:J46)</f>
        <v>5.7874999999999996</v>
      </c>
      <c r="K48" s="196" t="s">
        <v>249</v>
      </c>
    </row>
    <row r="49" spans="1:18" ht="31.5" customHeight="1" x14ac:dyDescent="0.35">
      <c r="A49" s="306"/>
      <c r="B49" s="202" t="s">
        <v>123</v>
      </c>
      <c r="C49" s="22">
        <v>1</v>
      </c>
      <c r="D49" s="159" t="s">
        <v>100</v>
      </c>
      <c r="E49" s="160">
        <v>3.05</v>
      </c>
      <c r="F49" s="311"/>
      <c r="G49" s="312"/>
      <c r="H49" s="313"/>
      <c r="I49" s="200"/>
      <c r="J49" s="204">
        <f>(I47*E49*C49)+(I47*E50*C50)+(I47*E48*C48)</f>
        <v>8.3874999999999993</v>
      </c>
      <c r="K49" s="196" t="s">
        <v>124</v>
      </c>
    </row>
    <row r="50" spans="1:18" ht="31.5" customHeight="1" thickBot="1" x14ac:dyDescent="0.4">
      <c r="A50" s="308"/>
      <c r="B50" s="205" t="s">
        <v>125</v>
      </c>
      <c r="C50" s="23"/>
      <c r="D50" s="183" t="s">
        <v>100</v>
      </c>
      <c r="E50" s="184">
        <v>3.95</v>
      </c>
      <c r="F50" s="314"/>
      <c r="G50" s="315"/>
      <c r="H50" s="316"/>
      <c r="I50" s="185"/>
      <c r="J50" s="207">
        <f>J49+J48</f>
        <v>14.174999999999999</v>
      </c>
      <c r="K50" s="196" t="s">
        <v>126</v>
      </c>
    </row>
    <row r="51" spans="1:18" ht="15" thickBot="1" x14ac:dyDescent="0.4">
      <c r="G51" s="99"/>
      <c r="H51" s="99"/>
      <c r="I51" s="99"/>
      <c r="J51" s="208"/>
    </row>
    <row r="52" spans="1:18" x14ac:dyDescent="0.35">
      <c r="A52" s="305" t="s">
        <v>127</v>
      </c>
      <c r="B52" s="309" t="s">
        <v>128</v>
      </c>
      <c r="C52" s="309"/>
      <c r="D52" s="309"/>
      <c r="E52" s="309"/>
      <c r="F52" s="309"/>
      <c r="G52" s="309"/>
      <c r="H52" s="309"/>
      <c r="I52" s="309"/>
      <c r="J52" s="310"/>
    </row>
    <row r="53" spans="1:18" ht="27" thickBot="1" x14ac:dyDescent="0.4">
      <c r="A53" s="306"/>
      <c r="B53" s="143" t="s">
        <v>90</v>
      </c>
      <c r="C53" s="144" t="s">
        <v>91</v>
      </c>
      <c r="D53" s="145" t="s">
        <v>92</v>
      </c>
      <c r="E53" s="146" t="s">
        <v>93</v>
      </c>
      <c r="F53" s="147" t="s">
        <v>94</v>
      </c>
      <c r="G53" s="148" t="s">
        <v>95</v>
      </c>
      <c r="H53" s="148" t="s">
        <v>96</v>
      </c>
      <c r="I53" s="148" t="s">
        <v>97</v>
      </c>
      <c r="J53" s="148" t="s">
        <v>98</v>
      </c>
    </row>
    <row r="54" spans="1:18" x14ac:dyDescent="0.35">
      <c r="A54" s="307"/>
      <c r="B54" s="149" t="s">
        <v>99</v>
      </c>
      <c r="C54" s="17">
        <v>1</v>
      </c>
      <c r="D54" s="151" t="s">
        <v>100</v>
      </c>
      <c r="E54" s="152">
        <v>2.97</v>
      </c>
      <c r="F54" s="153">
        <v>0.75</v>
      </c>
      <c r="G54" s="153" t="s">
        <v>101</v>
      </c>
      <c r="H54" s="155">
        <f>F54*C54</f>
        <v>0.75</v>
      </c>
      <c r="I54" s="153">
        <v>0</v>
      </c>
      <c r="J54" s="209">
        <f t="shared" ref="J54:J61" si="4">H54*E54</f>
        <v>2.2275</v>
      </c>
    </row>
    <row r="55" spans="1:18" ht="15" thickBot="1" x14ac:dyDescent="0.4">
      <c r="A55" s="307"/>
      <c r="B55" s="157" t="s">
        <v>102</v>
      </c>
      <c r="C55" s="19"/>
      <c r="D55" s="159" t="s">
        <v>100</v>
      </c>
      <c r="E55" s="160">
        <v>3.51</v>
      </c>
      <c r="F55" s="161">
        <v>0.75</v>
      </c>
      <c r="G55" s="161" t="s">
        <v>101</v>
      </c>
      <c r="H55" s="163">
        <f t="shared" ref="H55:H68" si="5">F55*C55</f>
        <v>0</v>
      </c>
      <c r="I55" s="161">
        <v>0</v>
      </c>
      <c r="J55" s="210">
        <f t="shared" si="4"/>
        <v>0</v>
      </c>
      <c r="Q55" s="99"/>
    </row>
    <row r="56" spans="1:18" ht="15.75" customHeight="1" thickTop="1" thickBot="1" x14ac:dyDescent="0.4">
      <c r="A56" s="307"/>
      <c r="B56" s="157" t="s">
        <v>104</v>
      </c>
      <c r="C56" s="19">
        <v>1</v>
      </c>
      <c r="D56" s="159" t="s">
        <v>100</v>
      </c>
      <c r="E56" s="160">
        <v>3.8</v>
      </c>
      <c r="F56" s="161">
        <v>0.1</v>
      </c>
      <c r="G56" s="161" t="s">
        <v>101</v>
      </c>
      <c r="H56" s="163">
        <f t="shared" si="5"/>
        <v>0.1</v>
      </c>
      <c r="I56" s="161">
        <v>0</v>
      </c>
      <c r="J56" s="210">
        <f t="shared" si="4"/>
        <v>0.38</v>
      </c>
      <c r="L56" s="165" t="s">
        <v>103</v>
      </c>
      <c r="M56" s="168">
        <f>D12</f>
        <v>0</v>
      </c>
      <c r="O56" s="302" t="s">
        <v>253</v>
      </c>
      <c r="P56" s="303"/>
      <c r="Q56" s="303"/>
      <c r="R56" s="304"/>
    </row>
    <row r="57" spans="1:18" ht="15" thickBot="1" x14ac:dyDescent="0.4">
      <c r="A57" s="307"/>
      <c r="B57" s="157" t="s">
        <v>106</v>
      </c>
      <c r="C57" s="19"/>
      <c r="D57" s="159" t="s">
        <v>76</v>
      </c>
      <c r="E57" s="160">
        <v>0.7</v>
      </c>
      <c r="F57" s="161">
        <v>0.03</v>
      </c>
      <c r="G57" s="161">
        <v>6.6000000000000003E-2</v>
      </c>
      <c r="H57" s="163">
        <f t="shared" si="5"/>
        <v>0</v>
      </c>
      <c r="I57" s="161">
        <f t="shared" ref="I57:I68" si="6">G57*C57</f>
        <v>0</v>
      </c>
      <c r="J57" s="210">
        <f t="shared" si="4"/>
        <v>0</v>
      </c>
      <c r="L57" s="167" t="s">
        <v>105</v>
      </c>
      <c r="M57" s="168">
        <f>M56*10%</f>
        <v>0</v>
      </c>
      <c r="O57" s="92">
        <f>(H69+I69)*M56</f>
        <v>0</v>
      </c>
      <c r="P57" s="297" t="s">
        <v>254</v>
      </c>
      <c r="Q57" s="297"/>
      <c r="R57" s="298"/>
    </row>
    <row r="58" spans="1:18" ht="15" thickBot="1" x14ac:dyDescent="0.4">
      <c r="A58" s="307"/>
      <c r="B58" s="157" t="s">
        <v>108</v>
      </c>
      <c r="C58" s="19">
        <v>1</v>
      </c>
      <c r="D58" s="159" t="s">
        <v>76</v>
      </c>
      <c r="E58" s="160">
        <v>2.65</v>
      </c>
      <c r="F58" s="161">
        <v>0.3</v>
      </c>
      <c r="G58" s="161">
        <v>0.75</v>
      </c>
      <c r="H58" s="163">
        <f t="shared" si="5"/>
        <v>0.3</v>
      </c>
      <c r="I58" s="161">
        <f t="shared" si="6"/>
        <v>0.75</v>
      </c>
      <c r="J58" s="210">
        <f t="shared" si="4"/>
        <v>0.79499999999999993</v>
      </c>
      <c r="L58" s="171" t="s">
        <v>235</v>
      </c>
      <c r="M58" s="20">
        <v>0</v>
      </c>
      <c r="O58" s="93">
        <v>50</v>
      </c>
      <c r="P58" s="296" t="s">
        <v>255</v>
      </c>
      <c r="Q58" s="297"/>
      <c r="R58" s="298"/>
    </row>
    <row r="59" spans="1:18" ht="15.5" thickTop="1" thickBot="1" x14ac:dyDescent="0.4">
      <c r="A59" s="307"/>
      <c r="B59" s="157" t="s">
        <v>110</v>
      </c>
      <c r="C59" s="19">
        <v>2</v>
      </c>
      <c r="D59" s="159" t="s">
        <v>76</v>
      </c>
      <c r="E59" s="160">
        <v>2.65</v>
      </c>
      <c r="F59" s="161">
        <v>0.45</v>
      </c>
      <c r="G59" s="161">
        <v>1</v>
      </c>
      <c r="H59" s="163">
        <f t="shared" si="5"/>
        <v>0.9</v>
      </c>
      <c r="I59" s="161">
        <f t="shared" si="6"/>
        <v>2</v>
      </c>
      <c r="J59" s="210">
        <f t="shared" si="4"/>
        <v>2.3849999999999998</v>
      </c>
      <c r="L59" s="171" t="s">
        <v>252</v>
      </c>
      <c r="M59" s="20">
        <v>0</v>
      </c>
      <c r="O59" s="94">
        <f>O57/O58</f>
        <v>0</v>
      </c>
      <c r="P59" s="299" t="s">
        <v>256</v>
      </c>
      <c r="Q59" s="300"/>
      <c r="R59" s="301"/>
    </row>
    <row r="60" spans="1:18" ht="15" thickBot="1" x14ac:dyDescent="0.4">
      <c r="A60" s="307"/>
      <c r="B60" s="157" t="s">
        <v>112</v>
      </c>
      <c r="C60" s="19"/>
      <c r="D60" s="159" t="s">
        <v>76</v>
      </c>
      <c r="E60" s="160">
        <v>1.1299999999999999</v>
      </c>
      <c r="F60" s="161">
        <v>0.6</v>
      </c>
      <c r="G60" s="161">
        <v>1.32</v>
      </c>
      <c r="H60" s="163">
        <f t="shared" si="5"/>
        <v>0</v>
      </c>
      <c r="I60" s="161">
        <f t="shared" si="6"/>
        <v>0</v>
      </c>
      <c r="J60" s="210">
        <f t="shared" si="4"/>
        <v>0</v>
      </c>
      <c r="L60" s="171" t="s">
        <v>109</v>
      </c>
      <c r="M60" s="173">
        <v>22</v>
      </c>
      <c r="N60" s="2"/>
      <c r="Q60" s="99"/>
    </row>
    <row r="61" spans="1:18" ht="15" thickBot="1" x14ac:dyDescent="0.4">
      <c r="A61" s="307"/>
      <c r="B61" s="157" t="s">
        <v>114</v>
      </c>
      <c r="C61" s="19">
        <v>1</v>
      </c>
      <c r="D61" s="159" t="s">
        <v>76</v>
      </c>
      <c r="E61" s="160">
        <v>2.65</v>
      </c>
      <c r="F61" s="161">
        <v>0.8</v>
      </c>
      <c r="G61" s="161">
        <v>1.7600000000000002</v>
      </c>
      <c r="H61" s="163">
        <f t="shared" si="5"/>
        <v>0.8</v>
      </c>
      <c r="I61" s="161">
        <f t="shared" si="6"/>
        <v>1.7600000000000002</v>
      </c>
      <c r="J61" s="210">
        <f t="shared" si="4"/>
        <v>2.12</v>
      </c>
      <c r="L61" s="171" t="s">
        <v>111</v>
      </c>
      <c r="M61" s="173">
        <f>(M56+M57)*J72</f>
        <v>0</v>
      </c>
      <c r="N61" s="2"/>
      <c r="Q61" s="99"/>
    </row>
    <row r="62" spans="1:18" ht="15" thickBot="1" x14ac:dyDescent="0.4">
      <c r="A62" s="307"/>
      <c r="B62" s="157" t="s">
        <v>116</v>
      </c>
      <c r="C62" s="19"/>
      <c r="D62" s="159" t="s">
        <v>76</v>
      </c>
      <c r="E62" s="160">
        <v>6.8</v>
      </c>
      <c r="F62" s="161">
        <v>0.5</v>
      </c>
      <c r="G62" s="161">
        <v>0.75</v>
      </c>
      <c r="H62" s="163">
        <f t="shared" si="5"/>
        <v>0</v>
      </c>
      <c r="I62" s="161">
        <f t="shared" si="6"/>
        <v>0</v>
      </c>
      <c r="J62" s="210">
        <f t="shared" ref="J62:J68" si="7">C62*E62</f>
        <v>0</v>
      </c>
      <c r="L62" s="171" t="s">
        <v>113</v>
      </c>
      <c r="M62" s="173">
        <f>M58*(M59*8)*M60</f>
        <v>0</v>
      </c>
      <c r="N62" s="2"/>
    </row>
    <row r="63" spans="1:18" ht="15" thickBot="1" x14ac:dyDescent="0.4">
      <c r="A63" s="307"/>
      <c r="B63" s="157" t="s">
        <v>117</v>
      </c>
      <c r="C63" s="19"/>
      <c r="D63" s="159" t="s">
        <v>76</v>
      </c>
      <c r="E63" s="160">
        <v>13.75</v>
      </c>
      <c r="F63" s="161">
        <v>1</v>
      </c>
      <c r="G63" s="161">
        <v>0.75</v>
      </c>
      <c r="H63" s="163">
        <f t="shared" si="5"/>
        <v>0</v>
      </c>
      <c r="I63" s="161">
        <f t="shared" si="6"/>
        <v>0</v>
      </c>
      <c r="J63" s="210">
        <f t="shared" si="7"/>
        <v>0</v>
      </c>
      <c r="L63" s="174" t="s">
        <v>115</v>
      </c>
      <c r="M63" s="173">
        <f>(M62+M61)*1.15</f>
        <v>0</v>
      </c>
    </row>
    <row r="64" spans="1:18" x14ac:dyDescent="0.35">
      <c r="A64" s="307"/>
      <c r="B64" s="157" t="s">
        <v>118</v>
      </c>
      <c r="C64" s="19"/>
      <c r="D64" s="159" t="s">
        <v>76</v>
      </c>
      <c r="E64" s="160">
        <v>9.16</v>
      </c>
      <c r="F64" s="161">
        <v>1.5</v>
      </c>
      <c r="G64" s="161">
        <v>0.75</v>
      </c>
      <c r="H64" s="163">
        <f t="shared" si="5"/>
        <v>0</v>
      </c>
      <c r="I64" s="161">
        <f t="shared" si="6"/>
        <v>0</v>
      </c>
      <c r="J64" s="210">
        <f t="shared" si="7"/>
        <v>0</v>
      </c>
    </row>
    <row r="65" spans="1:18" x14ac:dyDescent="0.35">
      <c r="A65" s="307"/>
      <c r="B65" s="157" t="s">
        <v>119</v>
      </c>
      <c r="C65" s="19"/>
      <c r="D65" s="159" t="s">
        <v>76</v>
      </c>
      <c r="E65" s="160">
        <v>0</v>
      </c>
      <c r="F65" s="161">
        <v>0</v>
      </c>
      <c r="G65" s="161">
        <v>0</v>
      </c>
      <c r="H65" s="163">
        <f t="shared" si="5"/>
        <v>0</v>
      </c>
      <c r="I65" s="161">
        <f t="shared" si="6"/>
        <v>0</v>
      </c>
      <c r="J65" s="210">
        <f t="shared" si="7"/>
        <v>0</v>
      </c>
    </row>
    <row r="66" spans="1:18" x14ac:dyDescent="0.35">
      <c r="A66" s="307"/>
      <c r="B66" s="211">
        <f>B44</f>
        <v>0</v>
      </c>
      <c r="C66" s="24"/>
      <c r="D66" s="212"/>
      <c r="E66" s="160">
        <v>0</v>
      </c>
      <c r="F66" s="161">
        <v>0</v>
      </c>
      <c r="G66" s="161">
        <v>0</v>
      </c>
      <c r="H66" s="163">
        <f t="shared" si="5"/>
        <v>0</v>
      </c>
      <c r="I66" s="161">
        <f t="shared" si="6"/>
        <v>0</v>
      </c>
      <c r="J66" s="210">
        <f t="shared" si="7"/>
        <v>0</v>
      </c>
    </row>
    <row r="67" spans="1:18" x14ac:dyDescent="0.35">
      <c r="A67" s="307"/>
      <c r="B67" s="211">
        <f>B45</f>
        <v>0</v>
      </c>
      <c r="C67" s="19"/>
      <c r="D67" s="159"/>
      <c r="E67" s="160">
        <v>0</v>
      </c>
      <c r="F67" s="161">
        <v>0</v>
      </c>
      <c r="G67" s="161">
        <v>0</v>
      </c>
      <c r="H67" s="163">
        <f t="shared" si="5"/>
        <v>0</v>
      </c>
      <c r="I67" s="161">
        <f t="shared" si="6"/>
        <v>0</v>
      </c>
      <c r="J67" s="210">
        <f t="shared" si="7"/>
        <v>0</v>
      </c>
    </row>
    <row r="68" spans="1:18" ht="15" thickBot="1" x14ac:dyDescent="0.4">
      <c r="A68" s="307"/>
      <c r="B68" s="211">
        <f>B46</f>
        <v>0</v>
      </c>
      <c r="C68" s="21"/>
      <c r="D68" s="176"/>
      <c r="E68" s="160">
        <v>0</v>
      </c>
      <c r="F68" s="178">
        <v>0</v>
      </c>
      <c r="G68" s="178">
        <v>0</v>
      </c>
      <c r="H68" s="163">
        <f t="shared" si="5"/>
        <v>0</v>
      </c>
      <c r="I68" s="161">
        <f t="shared" si="6"/>
        <v>0</v>
      </c>
      <c r="J68" s="210">
        <f t="shared" si="7"/>
        <v>0</v>
      </c>
    </row>
    <row r="69" spans="1:18" ht="15.75" customHeight="1" thickBot="1" x14ac:dyDescent="0.4">
      <c r="A69" s="307"/>
      <c r="B69" s="189"/>
      <c r="C69" s="190"/>
      <c r="D69" s="191"/>
      <c r="E69" s="192"/>
      <c r="F69" s="191"/>
      <c r="G69" s="191"/>
      <c r="H69" s="213">
        <f>SUM(H54:H68)</f>
        <v>2.8499999999999996</v>
      </c>
      <c r="I69" s="191">
        <f>SUM(I54:I68)</f>
        <v>4.51</v>
      </c>
      <c r="J69" s="195"/>
      <c r="K69" s="196"/>
    </row>
    <row r="70" spans="1:18" x14ac:dyDescent="0.35">
      <c r="A70" s="306"/>
      <c r="B70" s="214" t="s">
        <v>121</v>
      </c>
      <c r="C70" s="18"/>
      <c r="D70" s="198" t="s">
        <v>100</v>
      </c>
      <c r="E70" s="199">
        <v>1.89</v>
      </c>
      <c r="F70" s="311" t="s">
        <v>122</v>
      </c>
      <c r="G70" s="312"/>
      <c r="H70" s="313"/>
      <c r="I70" s="200"/>
      <c r="J70" s="201">
        <f>SUM(J54:J68)</f>
        <v>7.9074999999999998</v>
      </c>
      <c r="K70" s="196" t="s">
        <v>249</v>
      </c>
    </row>
    <row r="71" spans="1:18" ht="26" x14ac:dyDescent="0.35">
      <c r="A71" s="306"/>
      <c r="B71" s="157" t="s">
        <v>123</v>
      </c>
      <c r="C71" s="22">
        <v>1</v>
      </c>
      <c r="D71" s="159" t="s">
        <v>100</v>
      </c>
      <c r="E71" s="160">
        <v>3.05</v>
      </c>
      <c r="F71" s="311"/>
      <c r="G71" s="312"/>
      <c r="H71" s="313"/>
      <c r="I71" s="200"/>
      <c r="J71" s="204">
        <f>(I69*E71*C71)+(I69*E72*C72)+(I69*E70*C70)</f>
        <v>13.755499999999998</v>
      </c>
      <c r="K71" s="196" t="s">
        <v>124</v>
      </c>
    </row>
    <row r="72" spans="1:18" ht="26.5" thickBot="1" x14ac:dyDescent="0.4">
      <c r="A72" s="308"/>
      <c r="B72" s="181" t="s">
        <v>125</v>
      </c>
      <c r="C72" s="23"/>
      <c r="D72" s="183" t="s">
        <v>100</v>
      </c>
      <c r="E72" s="184">
        <v>3.95</v>
      </c>
      <c r="F72" s="314"/>
      <c r="G72" s="315"/>
      <c r="H72" s="316"/>
      <c r="I72" s="185"/>
      <c r="J72" s="207">
        <f>J71+J70</f>
        <v>21.662999999999997</v>
      </c>
      <c r="K72" s="196" t="s">
        <v>126</v>
      </c>
    </row>
    <row r="73" spans="1:18" s="2" customFormat="1" ht="15" thickBot="1" x14ac:dyDescent="0.4">
      <c r="L73" s="129"/>
      <c r="M73" s="129"/>
    </row>
    <row r="74" spans="1:18" x14ac:dyDescent="0.35">
      <c r="A74" s="305" t="s">
        <v>129</v>
      </c>
      <c r="B74" s="309" t="s">
        <v>130</v>
      </c>
      <c r="C74" s="309"/>
      <c r="D74" s="309"/>
      <c r="E74" s="309"/>
      <c r="F74" s="309"/>
      <c r="G74" s="309"/>
      <c r="H74" s="309"/>
      <c r="I74" s="309"/>
      <c r="J74" s="310"/>
    </row>
    <row r="75" spans="1:18" ht="27" thickBot="1" x14ac:dyDescent="0.4">
      <c r="A75" s="306"/>
      <c r="B75" s="143" t="s">
        <v>90</v>
      </c>
      <c r="C75" s="144" t="s">
        <v>91</v>
      </c>
      <c r="D75" s="145" t="s">
        <v>92</v>
      </c>
      <c r="E75" s="146" t="s">
        <v>93</v>
      </c>
      <c r="F75" s="147" t="s">
        <v>94</v>
      </c>
      <c r="G75" s="148" t="s">
        <v>95</v>
      </c>
      <c r="H75" s="148" t="s">
        <v>96</v>
      </c>
      <c r="I75" s="148" t="s">
        <v>97</v>
      </c>
      <c r="J75" s="148" t="s">
        <v>98</v>
      </c>
      <c r="L75" s="2"/>
      <c r="M75" s="2"/>
    </row>
    <row r="76" spans="1:18" x14ac:dyDescent="0.35">
      <c r="A76" s="307"/>
      <c r="B76" s="149" t="s">
        <v>99</v>
      </c>
      <c r="C76" s="17">
        <v>1</v>
      </c>
      <c r="D76" s="151" t="s">
        <v>100</v>
      </c>
      <c r="E76" s="152">
        <v>2.97</v>
      </c>
      <c r="F76" s="153">
        <v>0.75</v>
      </c>
      <c r="G76" s="154" t="s">
        <v>101</v>
      </c>
      <c r="H76" s="215">
        <f>F76*C76</f>
        <v>0.75</v>
      </c>
      <c r="I76" s="153">
        <v>0</v>
      </c>
      <c r="J76" s="209">
        <f t="shared" ref="J76:J83" si="8">H76*E76</f>
        <v>2.2275</v>
      </c>
    </row>
    <row r="77" spans="1:18" x14ac:dyDescent="0.35">
      <c r="A77" s="307"/>
      <c r="B77" s="157" t="s">
        <v>102</v>
      </c>
      <c r="C77" s="18"/>
      <c r="D77" s="159" t="s">
        <v>100</v>
      </c>
      <c r="E77" s="160">
        <v>3.51</v>
      </c>
      <c r="F77" s="161">
        <v>0.75</v>
      </c>
      <c r="G77" s="162" t="s">
        <v>101</v>
      </c>
      <c r="H77" s="216">
        <f t="shared" ref="H77:H90" si="9">F77*C77</f>
        <v>0</v>
      </c>
      <c r="I77" s="161">
        <v>0</v>
      </c>
      <c r="J77" s="210">
        <f t="shared" si="8"/>
        <v>0</v>
      </c>
      <c r="Q77" s="99"/>
    </row>
    <row r="78" spans="1:18" ht="15.75" customHeight="1" thickBot="1" x14ac:dyDescent="0.4">
      <c r="A78" s="307"/>
      <c r="B78" s="157" t="s">
        <v>104</v>
      </c>
      <c r="C78" s="18">
        <v>1</v>
      </c>
      <c r="D78" s="159" t="s">
        <v>100</v>
      </c>
      <c r="E78" s="160">
        <v>3.8</v>
      </c>
      <c r="F78" s="161">
        <v>0.1</v>
      </c>
      <c r="G78" s="162" t="s">
        <v>101</v>
      </c>
      <c r="H78" s="216">
        <f t="shared" si="9"/>
        <v>0.1</v>
      </c>
      <c r="I78" s="161">
        <v>0</v>
      </c>
      <c r="J78" s="210">
        <f t="shared" si="8"/>
        <v>0.38</v>
      </c>
      <c r="Q78" s="99"/>
    </row>
    <row r="79" spans="1:18" ht="15.5" thickTop="1" thickBot="1" x14ac:dyDescent="0.4">
      <c r="A79" s="307"/>
      <c r="B79" s="157" t="s">
        <v>106</v>
      </c>
      <c r="C79" s="19"/>
      <c r="D79" s="159" t="s">
        <v>76</v>
      </c>
      <c r="E79" s="160">
        <v>0.7</v>
      </c>
      <c r="F79" s="161">
        <v>0.03</v>
      </c>
      <c r="G79" s="170">
        <v>6.6000000000000003E-2</v>
      </c>
      <c r="H79" s="216">
        <f t="shared" si="9"/>
        <v>0</v>
      </c>
      <c r="I79" s="161">
        <f t="shared" ref="I79:I90" si="10">G79*C79</f>
        <v>0</v>
      </c>
      <c r="J79" s="210">
        <f t="shared" si="8"/>
        <v>0</v>
      </c>
      <c r="L79" s="217" t="s">
        <v>103</v>
      </c>
      <c r="M79" s="168">
        <f>D13</f>
        <v>0</v>
      </c>
      <c r="O79" s="302" t="s">
        <v>253</v>
      </c>
      <c r="P79" s="303"/>
      <c r="Q79" s="303"/>
      <c r="R79" s="304"/>
    </row>
    <row r="80" spans="1:18" ht="15" thickBot="1" x14ac:dyDescent="0.4">
      <c r="A80" s="307"/>
      <c r="B80" s="157" t="s">
        <v>108</v>
      </c>
      <c r="C80" s="19">
        <v>1</v>
      </c>
      <c r="D80" s="159" t="s">
        <v>76</v>
      </c>
      <c r="E80" s="160">
        <v>2.65</v>
      </c>
      <c r="F80" s="161">
        <v>0.3</v>
      </c>
      <c r="G80" s="170">
        <v>0.75</v>
      </c>
      <c r="H80" s="216">
        <f t="shared" si="9"/>
        <v>0.3</v>
      </c>
      <c r="I80" s="161">
        <f t="shared" si="10"/>
        <v>0.75</v>
      </c>
      <c r="J80" s="210">
        <f t="shared" si="8"/>
        <v>0.79499999999999993</v>
      </c>
      <c r="L80" s="218" t="s">
        <v>105</v>
      </c>
      <c r="M80" s="168">
        <f>M79*10%</f>
        <v>0</v>
      </c>
      <c r="O80" s="92">
        <f>(H91+I91)*M79</f>
        <v>0</v>
      </c>
      <c r="P80" s="297" t="s">
        <v>254</v>
      </c>
      <c r="Q80" s="297"/>
      <c r="R80" s="298"/>
    </row>
    <row r="81" spans="1:18" ht="15" thickBot="1" x14ac:dyDescent="0.4">
      <c r="A81" s="307"/>
      <c r="B81" s="157" t="s">
        <v>110</v>
      </c>
      <c r="C81" s="19">
        <v>2</v>
      </c>
      <c r="D81" s="159" t="s">
        <v>76</v>
      </c>
      <c r="E81" s="160">
        <v>2.65</v>
      </c>
      <c r="F81" s="161">
        <v>0.45</v>
      </c>
      <c r="G81" s="170">
        <v>1</v>
      </c>
      <c r="H81" s="216">
        <f t="shared" si="9"/>
        <v>0.9</v>
      </c>
      <c r="I81" s="161">
        <f t="shared" si="10"/>
        <v>2</v>
      </c>
      <c r="J81" s="210">
        <f t="shared" si="8"/>
        <v>2.3849999999999998</v>
      </c>
      <c r="L81" s="171" t="s">
        <v>235</v>
      </c>
      <c r="M81" s="20">
        <v>0</v>
      </c>
      <c r="O81" s="93">
        <v>50</v>
      </c>
      <c r="P81" s="296" t="s">
        <v>255</v>
      </c>
      <c r="Q81" s="297"/>
      <c r="R81" s="298"/>
    </row>
    <row r="82" spans="1:18" ht="15.5" thickTop="1" thickBot="1" x14ac:dyDescent="0.4">
      <c r="A82" s="307"/>
      <c r="B82" s="157" t="s">
        <v>112</v>
      </c>
      <c r="C82" s="19"/>
      <c r="D82" s="159" t="s">
        <v>76</v>
      </c>
      <c r="E82" s="160">
        <v>1.1299999999999999</v>
      </c>
      <c r="F82" s="161">
        <v>0.6</v>
      </c>
      <c r="G82" s="170">
        <v>1.32</v>
      </c>
      <c r="H82" s="216">
        <f t="shared" si="9"/>
        <v>0</v>
      </c>
      <c r="I82" s="161">
        <f t="shared" si="10"/>
        <v>0</v>
      </c>
      <c r="J82" s="210">
        <f t="shared" si="8"/>
        <v>0</v>
      </c>
      <c r="L82" s="171" t="s">
        <v>252</v>
      </c>
      <c r="M82" s="20">
        <v>0</v>
      </c>
      <c r="N82" s="2"/>
      <c r="O82" s="94">
        <f>O80/O81</f>
        <v>0</v>
      </c>
      <c r="P82" s="299" t="s">
        <v>256</v>
      </c>
      <c r="Q82" s="300"/>
      <c r="R82" s="301"/>
    </row>
    <row r="83" spans="1:18" ht="15" thickBot="1" x14ac:dyDescent="0.4">
      <c r="A83" s="307"/>
      <c r="B83" s="157" t="s">
        <v>114</v>
      </c>
      <c r="C83" s="19">
        <v>1</v>
      </c>
      <c r="D83" s="159" t="s">
        <v>76</v>
      </c>
      <c r="E83" s="160">
        <v>2.65</v>
      </c>
      <c r="F83" s="161">
        <v>0.8</v>
      </c>
      <c r="G83" s="170">
        <v>1.7600000000000002</v>
      </c>
      <c r="H83" s="216">
        <f t="shared" si="9"/>
        <v>0.8</v>
      </c>
      <c r="I83" s="161">
        <f t="shared" si="10"/>
        <v>1.7600000000000002</v>
      </c>
      <c r="J83" s="210">
        <f t="shared" si="8"/>
        <v>2.12</v>
      </c>
      <c r="L83" s="219" t="s">
        <v>109</v>
      </c>
      <c r="M83" s="173">
        <v>22</v>
      </c>
      <c r="N83" s="2"/>
      <c r="Q83" s="99"/>
    </row>
    <row r="84" spans="1:18" ht="15" thickBot="1" x14ac:dyDescent="0.4">
      <c r="A84" s="307"/>
      <c r="B84" s="157" t="s">
        <v>116</v>
      </c>
      <c r="C84" s="19"/>
      <c r="D84" s="159" t="s">
        <v>76</v>
      </c>
      <c r="E84" s="160">
        <v>6.8</v>
      </c>
      <c r="F84" s="161">
        <v>0.5</v>
      </c>
      <c r="G84" s="170">
        <v>0.75</v>
      </c>
      <c r="H84" s="216">
        <f t="shared" si="9"/>
        <v>0</v>
      </c>
      <c r="I84" s="161">
        <f t="shared" si="10"/>
        <v>0</v>
      </c>
      <c r="J84" s="210">
        <f t="shared" ref="J84:J90" si="11">C84*E84</f>
        <v>0</v>
      </c>
      <c r="L84" s="219" t="s">
        <v>111</v>
      </c>
      <c r="M84" s="173">
        <f>(M79+M80)*J94</f>
        <v>0</v>
      </c>
      <c r="N84" s="2"/>
    </row>
    <row r="85" spans="1:18" ht="15" thickBot="1" x14ac:dyDescent="0.4">
      <c r="A85" s="307"/>
      <c r="B85" s="157" t="s">
        <v>117</v>
      </c>
      <c r="C85" s="19"/>
      <c r="D85" s="159" t="s">
        <v>76</v>
      </c>
      <c r="E85" s="160">
        <v>13.75</v>
      </c>
      <c r="F85" s="161">
        <v>1</v>
      </c>
      <c r="G85" s="170">
        <v>0.75</v>
      </c>
      <c r="H85" s="216">
        <f t="shared" si="9"/>
        <v>0</v>
      </c>
      <c r="I85" s="161">
        <f t="shared" si="10"/>
        <v>0</v>
      </c>
      <c r="J85" s="210">
        <f t="shared" si="11"/>
        <v>0</v>
      </c>
      <c r="L85" s="219" t="s">
        <v>113</v>
      </c>
      <c r="M85" s="173">
        <f>M81*(M82*8)*M83</f>
        <v>0</v>
      </c>
    </row>
    <row r="86" spans="1:18" ht="15" thickBot="1" x14ac:dyDescent="0.4">
      <c r="A86" s="307"/>
      <c r="B86" s="157" t="s">
        <v>118</v>
      </c>
      <c r="C86" s="18"/>
      <c r="D86" s="159" t="s">
        <v>76</v>
      </c>
      <c r="E86" s="160">
        <v>9.16</v>
      </c>
      <c r="F86" s="161">
        <v>1.5</v>
      </c>
      <c r="G86" s="170">
        <v>0.75</v>
      </c>
      <c r="H86" s="216">
        <f t="shared" si="9"/>
        <v>0</v>
      </c>
      <c r="I86" s="161">
        <f t="shared" si="10"/>
        <v>0</v>
      </c>
      <c r="J86" s="210">
        <f t="shared" si="11"/>
        <v>0</v>
      </c>
      <c r="L86" s="220" t="s">
        <v>115</v>
      </c>
      <c r="M86" s="173">
        <f>(M85+M84)*1.15</f>
        <v>0</v>
      </c>
    </row>
    <row r="87" spans="1:18" x14ac:dyDescent="0.35">
      <c r="A87" s="307"/>
      <c r="B87" s="175" t="s">
        <v>119</v>
      </c>
      <c r="C87" s="21"/>
      <c r="D87" s="176" t="s">
        <v>76</v>
      </c>
      <c r="E87" s="177">
        <v>0</v>
      </c>
      <c r="F87" s="178">
        <v>0</v>
      </c>
      <c r="G87" s="179">
        <v>0</v>
      </c>
      <c r="H87" s="221">
        <f t="shared" si="9"/>
        <v>0</v>
      </c>
      <c r="I87" s="178">
        <f t="shared" si="10"/>
        <v>0</v>
      </c>
      <c r="J87" s="222">
        <f t="shared" si="11"/>
        <v>0</v>
      </c>
    </row>
    <row r="88" spans="1:18" x14ac:dyDescent="0.35">
      <c r="A88" s="307"/>
      <c r="B88" s="211">
        <f>B44</f>
        <v>0</v>
      </c>
      <c r="C88" s="19"/>
      <c r="D88" s="159"/>
      <c r="E88" s="177">
        <v>0</v>
      </c>
      <c r="F88" s="161">
        <v>0</v>
      </c>
      <c r="G88" s="161">
        <v>0</v>
      </c>
      <c r="H88" s="221">
        <f t="shared" si="9"/>
        <v>0</v>
      </c>
      <c r="I88" s="178">
        <f t="shared" si="10"/>
        <v>0</v>
      </c>
      <c r="J88" s="222">
        <f t="shared" si="11"/>
        <v>0</v>
      </c>
    </row>
    <row r="89" spans="1:18" x14ac:dyDescent="0.35">
      <c r="A89" s="307"/>
      <c r="B89" s="211">
        <f>B45</f>
        <v>0</v>
      </c>
      <c r="C89" s="19"/>
      <c r="D89" s="159"/>
      <c r="E89" s="177">
        <v>0</v>
      </c>
      <c r="F89" s="161">
        <v>0</v>
      </c>
      <c r="G89" s="161">
        <v>0</v>
      </c>
      <c r="H89" s="221">
        <f t="shared" si="9"/>
        <v>0</v>
      </c>
      <c r="I89" s="178">
        <f t="shared" si="10"/>
        <v>0</v>
      </c>
      <c r="J89" s="222">
        <f t="shared" si="11"/>
        <v>0</v>
      </c>
    </row>
    <row r="90" spans="1:18" ht="15" thickBot="1" x14ac:dyDescent="0.4">
      <c r="A90" s="307"/>
      <c r="B90" s="211">
        <f>B46</f>
        <v>0</v>
      </c>
      <c r="C90" s="25"/>
      <c r="D90" s="176"/>
      <c r="E90" s="177">
        <v>0</v>
      </c>
      <c r="F90" s="178">
        <v>0</v>
      </c>
      <c r="G90" s="178">
        <v>0</v>
      </c>
      <c r="H90" s="221">
        <f t="shared" si="9"/>
        <v>0</v>
      </c>
      <c r="I90" s="178">
        <f t="shared" si="10"/>
        <v>0</v>
      </c>
      <c r="J90" s="222">
        <f t="shared" si="11"/>
        <v>0</v>
      </c>
    </row>
    <row r="91" spans="1:18" ht="15.75" customHeight="1" thickBot="1" x14ac:dyDescent="0.4">
      <c r="A91" s="307"/>
      <c r="B91" s="189"/>
      <c r="C91" s="223"/>
      <c r="D91" s="191"/>
      <c r="E91" s="192"/>
      <c r="F91" s="191"/>
      <c r="G91" s="191"/>
      <c r="H91" s="224">
        <f>SUM(H76:H90)</f>
        <v>2.8499999999999996</v>
      </c>
      <c r="I91" s="225">
        <f>SUM(I76:I90)</f>
        <v>4.51</v>
      </c>
      <c r="J91" s="195"/>
      <c r="K91" s="196"/>
    </row>
    <row r="92" spans="1:18" x14ac:dyDescent="0.35">
      <c r="A92" s="307"/>
      <c r="B92" s="214" t="s">
        <v>121</v>
      </c>
      <c r="C92" s="17"/>
      <c r="D92" s="198" t="s">
        <v>100</v>
      </c>
      <c r="E92" s="199">
        <v>1.89</v>
      </c>
      <c r="F92" s="311" t="s">
        <v>122</v>
      </c>
      <c r="G92" s="312"/>
      <c r="H92" s="313"/>
      <c r="I92" s="200"/>
      <c r="J92" s="201">
        <f>SUM(J76:J90)</f>
        <v>7.9074999999999998</v>
      </c>
      <c r="K92" s="196" t="s">
        <v>249</v>
      </c>
    </row>
    <row r="93" spans="1:18" ht="26" x14ac:dyDescent="0.35">
      <c r="A93" s="307"/>
      <c r="B93" s="157" t="s">
        <v>123</v>
      </c>
      <c r="C93" s="22">
        <v>1</v>
      </c>
      <c r="D93" s="159" t="s">
        <v>100</v>
      </c>
      <c r="E93" s="160">
        <v>3.05</v>
      </c>
      <c r="F93" s="311"/>
      <c r="G93" s="312"/>
      <c r="H93" s="313"/>
      <c r="I93" s="200"/>
      <c r="J93" s="204">
        <f>(I91*E93*C93)+(I91*E94*C94)+(I91*E92*C92)</f>
        <v>13.755499999999998</v>
      </c>
      <c r="K93" s="196" t="s">
        <v>124</v>
      </c>
    </row>
    <row r="94" spans="1:18" ht="26.5" thickBot="1" x14ac:dyDescent="0.4">
      <c r="A94" s="320"/>
      <c r="B94" s="181" t="s">
        <v>125</v>
      </c>
      <c r="C94" s="23"/>
      <c r="D94" s="183" t="s">
        <v>100</v>
      </c>
      <c r="E94" s="184">
        <v>3.95</v>
      </c>
      <c r="F94" s="314"/>
      <c r="G94" s="315"/>
      <c r="H94" s="316"/>
      <c r="I94" s="185"/>
      <c r="J94" s="207">
        <f>J93+J92</f>
        <v>21.662999999999997</v>
      </c>
      <c r="K94" s="196" t="s">
        <v>126</v>
      </c>
    </row>
    <row r="95" spans="1:18" s="2" customFormat="1" ht="15" thickBot="1" x14ac:dyDescent="0.4">
      <c r="L95" s="129"/>
      <c r="M95" s="129"/>
    </row>
    <row r="96" spans="1:18" x14ac:dyDescent="0.35">
      <c r="A96" s="305" t="s">
        <v>131</v>
      </c>
      <c r="B96" s="309" t="s">
        <v>132</v>
      </c>
      <c r="C96" s="309"/>
      <c r="D96" s="309"/>
      <c r="E96" s="309"/>
      <c r="F96" s="309"/>
      <c r="G96" s="309"/>
      <c r="H96" s="309"/>
      <c r="I96" s="309"/>
      <c r="J96" s="310"/>
    </row>
    <row r="97" spans="1:18" ht="27" thickBot="1" x14ac:dyDescent="0.4">
      <c r="A97" s="306"/>
      <c r="B97" s="143" t="s">
        <v>90</v>
      </c>
      <c r="C97" s="144" t="s">
        <v>91</v>
      </c>
      <c r="D97" s="145" t="s">
        <v>92</v>
      </c>
      <c r="E97" s="146" t="s">
        <v>93</v>
      </c>
      <c r="F97" s="147" t="s">
        <v>94</v>
      </c>
      <c r="G97" s="148" t="s">
        <v>95</v>
      </c>
      <c r="H97" s="148" t="s">
        <v>96</v>
      </c>
      <c r="I97" s="148" t="s">
        <v>97</v>
      </c>
      <c r="J97" s="148" t="s">
        <v>98</v>
      </c>
    </row>
    <row r="98" spans="1:18" x14ac:dyDescent="0.35">
      <c r="A98" s="307"/>
      <c r="B98" s="149" t="s">
        <v>99</v>
      </c>
      <c r="C98" s="17">
        <v>1</v>
      </c>
      <c r="D98" s="151" t="s">
        <v>100</v>
      </c>
      <c r="E98" s="152">
        <v>2.97</v>
      </c>
      <c r="F98" s="153">
        <v>0.75</v>
      </c>
      <c r="G98" s="154" t="s">
        <v>101</v>
      </c>
      <c r="H98" s="155">
        <f>F98*C98</f>
        <v>0.75</v>
      </c>
      <c r="I98" s="153">
        <v>0</v>
      </c>
      <c r="J98" s="209">
        <f t="shared" ref="J98:J105" si="12">H98*E98</f>
        <v>2.2275</v>
      </c>
      <c r="L98" s="2"/>
      <c r="M98" s="2"/>
    </row>
    <row r="99" spans="1:18" x14ac:dyDescent="0.35">
      <c r="A99" s="307"/>
      <c r="B99" s="157" t="s">
        <v>102</v>
      </c>
      <c r="C99" s="18"/>
      <c r="D99" s="159" t="s">
        <v>100</v>
      </c>
      <c r="E99" s="160">
        <v>3.51</v>
      </c>
      <c r="F99" s="161">
        <v>0.75</v>
      </c>
      <c r="G99" s="162" t="s">
        <v>101</v>
      </c>
      <c r="H99" s="163">
        <f t="shared" ref="H99:H112" si="13">F99*C99</f>
        <v>0</v>
      </c>
      <c r="I99" s="161">
        <v>0</v>
      </c>
      <c r="J99" s="210">
        <f t="shared" si="12"/>
        <v>0</v>
      </c>
      <c r="Q99" s="99"/>
    </row>
    <row r="100" spans="1:18" ht="15.75" customHeight="1" x14ac:dyDescent="0.35">
      <c r="A100" s="307"/>
      <c r="B100" s="157" t="s">
        <v>104</v>
      </c>
      <c r="C100" s="18">
        <v>1</v>
      </c>
      <c r="D100" s="159" t="s">
        <v>100</v>
      </c>
      <c r="E100" s="160">
        <v>3.8</v>
      </c>
      <c r="F100" s="161">
        <v>0.1</v>
      </c>
      <c r="G100" s="162" t="s">
        <v>101</v>
      </c>
      <c r="H100" s="163">
        <f t="shared" si="13"/>
        <v>0.1</v>
      </c>
      <c r="I100" s="161">
        <v>0</v>
      </c>
      <c r="J100" s="210">
        <f t="shared" si="12"/>
        <v>0.38</v>
      </c>
      <c r="Q100" s="99"/>
    </row>
    <row r="101" spans="1:18" ht="15" thickBot="1" x14ac:dyDescent="0.4">
      <c r="A101" s="307"/>
      <c r="B101" s="157" t="s">
        <v>106</v>
      </c>
      <c r="C101" s="19"/>
      <c r="D101" s="159" t="s">
        <v>76</v>
      </c>
      <c r="E101" s="160">
        <v>0.7</v>
      </c>
      <c r="F101" s="161">
        <v>0.03</v>
      </c>
      <c r="G101" s="170">
        <v>6.6000000000000003E-2</v>
      </c>
      <c r="H101" s="163">
        <f t="shared" si="13"/>
        <v>0</v>
      </c>
      <c r="I101" s="161">
        <f t="shared" ref="I101:I112" si="14">G101*C101</f>
        <v>0</v>
      </c>
      <c r="J101" s="210">
        <f t="shared" si="12"/>
        <v>0</v>
      </c>
      <c r="Q101" s="99"/>
    </row>
    <row r="102" spans="1:18" ht="15.75" customHeight="1" thickTop="1" thickBot="1" x14ac:dyDescent="0.4">
      <c r="A102" s="307"/>
      <c r="B102" s="157" t="s">
        <v>108</v>
      </c>
      <c r="C102" s="19">
        <v>1.2</v>
      </c>
      <c r="D102" s="159" t="s">
        <v>76</v>
      </c>
      <c r="E102" s="160">
        <v>2.65</v>
      </c>
      <c r="F102" s="161">
        <v>0.3</v>
      </c>
      <c r="G102" s="170">
        <v>0.75</v>
      </c>
      <c r="H102" s="163">
        <f t="shared" si="13"/>
        <v>0.36</v>
      </c>
      <c r="I102" s="161">
        <f t="shared" si="14"/>
        <v>0.89999999999999991</v>
      </c>
      <c r="J102" s="210">
        <f t="shared" si="12"/>
        <v>0.95399999999999996</v>
      </c>
      <c r="L102" s="165" t="s">
        <v>103</v>
      </c>
      <c r="M102" s="168">
        <f>D14</f>
        <v>0</v>
      </c>
      <c r="O102" s="302" t="s">
        <v>253</v>
      </c>
      <c r="P102" s="303"/>
      <c r="Q102" s="303"/>
      <c r="R102" s="304"/>
    </row>
    <row r="103" spans="1:18" ht="15" thickBot="1" x14ac:dyDescent="0.4">
      <c r="A103" s="307"/>
      <c r="B103" s="157" t="s">
        <v>110</v>
      </c>
      <c r="C103" s="19">
        <v>1.2</v>
      </c>
      <c r="D103" s="159" t="s">
        <v>76</v>
      </c>
      <c r="E103" s="160">
        <v>2.65</v>
      </c>
      <c r="F103" s="161">
        <v>0.45</v>
      </c>
      <c r="G103" s="170">
        <v>1</v>
      </c>
      <c r="H103" s="163">
        <f t="shared" si="13"/>
        <v>0.54</v>
      </c>
      <c r="I103" s="161">
        <f t="shared" si="14"/>
        <v>1.2</v>
      </c>
      <c r="J103" s="210">
        <f t="shared" si="12"/>
        <v>1.431</v>
      </c>
      <c r="L103" s="167" t="s">
        <v>105</v>
      </c>
      <c r="M103" s="168">
        <f>M102*10%</f>
        <v>0</v>
      </c>
      <c r="O103" s="92">
        <f>(H113+I113)*M102</f>
        <v>0</v>
      </c>
      <c r="P103" s="297" t="s">
        <v>254</v>
      </c>
      <c r="Q103" s="297"/>
      <c r="R103" s="298"/>
    </row>
    <row r="104" spans="1:18" ht="15" thickBot="1" x14ac:dyDescent="0.4">
      <c r="A104" s="307"/>
      <c r="B104" s="157" t="s">
        <v>112</v>
      </c>
      <c r="C104" s="19"/>
      <c r="D104" s="159" t="s">
        <v>76</v>
      </c>
      <c r="E104" s="160">
        <v>1.1299999999999999</v>
      </c>
      <c r="F104" s="161">
        <v>0.6</v>
      </c>
      <c r="G104" s="170">
        <v>1.32</v>
      </c>
      <c r="H104" s="163">
        <f t="shared" si="13"/>
        <v>0</v>
      </c>
      <c r="I104" s="161">
        <f t="shared" si="14"/>
        <v>0</v>
      </c>
      <c r="J104" s="210">
        <f t="shared" si="12"/>
        <v>0</v>
      </c>
      <c r="L104" s="171" t="s">
        <v>235</v>
      </c>
      <c r="M104" s="20">
        <v>0</v>
      </c>
      <c r="N104" s="2"/>
      <c r="O104" s="93">
        <v>50</v>
      </c>
      <c r="P104" s="296" t="s">
        <v>255</v>
      </c>
      <c r="Q104" s="297"/>
      <c r="R104" s="298"/>
    </row>
    <row r="105" spans="1:18" ht="15.5" thickTop="1" thickBot="1" x14ac:dyDescent="0.4">
      <c r="A105" s="307"/>
      <c r="B105" s="157" t="s">
        <v>114</v>
      </c>
      <c r="C105" s="19">
        <v>1.2</v>
      </c>
      <c r="D105" s="159" t="s">
        <v>76</v>
      </c>
      <c r="E105" s="160">
        <v>2.65</v>
      </c>
      <c r="F105" s="161">
        <v>0.8</v>
      </c>
      <c r="G105" s="170">
        <v>1.7600000000000002</v>
      </c>
      <c r="H105" s="163">
        <f t="shared" si="13"/>
        <v>0.96</v>
      </c>
      <c r="I105" s="161">
        <f t="shared" si="14"/>
        <v>2.1120000000000001</v>
      </c>
      <c r="J105" s="210">
        <f t="shared" si="12"/>
        <v>2.544</v>
      </c>
      <c r="L105" s="171" t="s">
        <v>252</v>
      </c>
      <c r="M105" s="20">
        <v>0</v>
      </c>
      <c r="N105" s="2"/>
      <c r="O105" s="94">
        <f>O103/O104</f>
        <v>0</v>
      </c>
      <c r="P105" s="299" t="s">
        <v>256</v>
      </c>
      <c r="Q105" s="300"/>
      <c r="R105" s="301"/>
    </row>
    <row r="106" spans="1:18" ht="15" thickBot="1" x14ac:dyDescent="0.4">
      <c r="A106" s="307"/>
      <c r="B106" s="157" t="s">
        <v>116</v>
      </c>
      <c r="C106" s="19"/>
      <c r="D106" s="159" t="s">
        <v>76</v>
      </c>
      <c r="E106" s="160">
        <v>6.8</v>
      </c>
      <c r="F106" s="161">
        <v>0.5</v>
      </c>
      <c r="G106" s="170">
        <v>0.75</v>
      </c>
      <c r="H106" s="163">
        <f t="shared" si="13"/>
        <v>0</v>
      </c>
      <c r="I106" s="161">
        <f t="shared" si="14"/>
        <v>0</v>
      </c>
      <c r="J106" s="210">
        <f t="shared" ref="J106:J112" si="15">C106*E106</f>
        <v>0</v>
      </c>
      <c r="L106" s="171" t="s">
        <v>109</v>
      </c>
      <c r="M106" s="173">
        <v>22</v>
      </c>
    </row>
    <row r="107" spans="1:18" ht="15" thickBot="1" x14ac:dyDescent="0.4">
      <c r="A107" s="307"/>
      <c r="B107" s="157" t="s">
        <v>117</v>
      </c>
      <c r="C107" s="19"/>
      <c r="D107" s="159" t="s">
        <v>76</v>
      </c>
      <c r="E107" s="160">
        <v>13.75</v>
      </c>
      <c r="F107" s="161">
        <v>1</v>
      </c>
      <c r="G107" s="170">
        <v>0.75</v>
      </c>
      <c r="H107" s="163">
        <f t="shared" si="13"/>
        <v>0</v>
      </c>
      <c r="I107" s="161">
        <f t="shared" si="14"/>
        <v>0</v>
      </c>
      <c r="J107" s="210">
        <f t="shared" si="15"/>
        <v>0</v>
      </c>
      <c r="L107" s="171" t="s">
        <v>111</v>
      </c>
      <c r="M107" s="173">
        <f>(M102+M103)*J116</f>
        <v>0</v>
      </c>
    </row>
    <row r="108" spans="1:18" ht="15" thickBot="1" x14ac:dyDescent="0.4">
      <c r="A108" s="307"/>
      <c r="B108" s="157" t="s">
        <v>118</v>
      </c>
      <c r="C108" s="18"/>
      <c r="D108" s="159" t="s">
        <v>76</v>
      </c>
      <c r="E108" s="160">
        <v>9.16</v>
      </c>
      <c r="F108" s="161">
        <v>1.5</v>
      </c>
      <c r="G108" s="170">
        <v>0.75</v>
      </c>
      <c r="H108" s="163">
        <f t="shared" si="13"/>
        <v>0</v>
      </c>
      <c r="I108" s="161">
        <f t="shared" si="14"/>
        <v>0</v>
      </c>
      <c r="J108" s="210">
        <f t="shared" si="15"/>
        <v>0</v>
      </c>
      <c r="L108" s="171" t="s">
        <v>113</v>
      </c>
      <c r="M108" s="173">
        <f>M104*(M105*8)*M106</f>
        <v>0</v>
      </c>
    </row>
    <row r="109" spans="1:18" ht="15" thickBot="1" x14ac:dyDescent="0.4">
      <c r="A109" s="307"/>
      <c r="B109" s="175" t="s">
        <v>119</v>
      </c>
      <c r="C109" s="21"/>
      <c r="D109" s="176" t="s">
        <v>76</v>
      </c>
      <c r="E109" s="177">
        <v>0</v>
      </c>
      <c r="F109" s="178">
        <v>0</v>
      </c>
      <c r="G109" s="179">
        <v>0</v>
      </c>
      <c r="H109" s="163">
        <f t="shared" si="13"/>
        <v>0</v>
      </c>
      <c r="I109" s="178">
        <f t="shared" si="14"/>
        <v>0</v>
      </c>
      <c r="J109" s="222">
        <f t="shared" si="15"/>
        <v>0</v>
      </c>
      <c r="L109" s="174" t="s">
        <v>115</v>
      </c>
      <c r="M109" s="173">
        <f>(M108+M107)*1.15</f>
        <v>0</v>
      </c>
    </row>
    <row r="110" spans="1:18" x14ac:dyDescent="0.35">
      <c r="A110" s="307"/>
      <c r="B110" s="211">
        <f>B44</f>
        <v>0</v>
      </c>
      <c r="C110" s="19"/>
      <c r="D110" s="159"/>
      <c r="E110" s="177">
        <v>0</v>
      </c>
      <c r="F110" s="161">
        <v>0</v>
      </c>
      <c r="G110" s="161">
        <v>0</v>
      </c>
      <c r="H110" s="163">
        <f t="shared" si="13"/>
        <v>0</v>
      </c>
      <c r="I110" s="178">
        <f t="shared" si="14"/>
        <v>0</v>
      </c>
      <c r="J110" s="222">
        <f t="shared" si="15"/>
        <v>0</v>
      </c>
    </row>
    <row r="111" spans="1:18" x14ac:dyDescent="0.35">
      <c r="A111" s="307"/>
      <c r="B111" s="211">
        <f>B45</f>
        <v>0</v>
      </c>
      <c r="C111" s="19"/>
      <c r="D111" s="159"/>
      <c r="E111" s="177">
        <v>0</v>
      </c>
      <c r="F111" s="161">
        <v>0</v>
      </c>
      <c r="G111" s="161">
        <v>0</v>
      </c>
      <c r="H111" s="163">
        <f t="shared" si="13"/>
        <v>0</v>
      </c>
      <c r="I111" s="178">
        <f t="shared" si="14"/>
        <v>0</v>
      </c>
      <c r="J111" s="222">
        <f t="shared" si="15"/>
        <v>0</v>
      </c>
    </row>
    <row r="112" spans="1:18" ht="15" thickBot="1" x14ac:dyDescent="0.4">
      <c r="A112" s="307"/>
      <c r="B112" s="211">
        <f>B46</f>
        <v>0</v>
      </c>
      <c r="C112" s="25"/>
      <c r="D112" s="183"/>
      <c r="E112" s="177">
        <v>0</v>
      </c>
      <c r="F112" s="185">
        <v>0</v>
      </c>
      <c r="G112" s="185">
        <v>0</v>
      </c>
      <c r="H112" s="163">
        <f t="shared" si="13"/>
        <v>0</v>
      </c>
      <c r="I112" s="178">
        <f t="shared" si="14"/>
        <v>0</v>
      </c>
      <c r="J112" s="222">
        <f t="shared" si="15"/>
        <v>0</v>
      </c>
    </row>
    <row r="113" spans="1:18" ht="15.75" customHeight="1" thickBot="1" x14ac:dyDescent="0.4">
      <c r="A113" s="307"/>
      <c r="B113" s="189"/>
      <c r="C113" s="190"/>
      <c r="D113" s="191"/>
      <c r="E113" s="192"/>
      <c r="F113" s="191"/>
      <c r="G113" s="191"/>
      <c r="H113" s="213">
        <f>SUM(H98:H112)</f>
        <v>2.71</v>
      </c>
      <c r="I113" s="226">
        <f>SUM(I98:I112)</f>
        <v>4.2119999999999997</v>
      </c>
      <c r="J113" s="195"/>
      <c r="K113" s="196"/>
    </row>
    <row r="114" spans="1:18" x14ac:dyDescent="0.35">
      <c r="A114" s="306"/>
      <c r="B114" s="214" t="s">
        <v>121</v>
      </c>
      <c r="C114" s="18"/>
      <c r="D114" s="198" t="s">
        <v>100</v>
      </c>
      <c r="E114" s="199">
        <v>1.89</v>
      </c>
      <c r="F114" s="311" t="s">
        <v>122</v>
      </c>
      <c r="G114" s="312"/>
      <c r="H114" s="313"/>
      <c r="I114" s="200"/>
      <c r="J114" s="201">
        <f>SUM(J98:J112)</f>
        <v>7.5365000000000002</v>
      </c>
      <c r="K114" s="196" t="s">
        <v>249</v>
      </c>
    </row>
    <row r="115" spans="1:18" ht="26" x14ac:dyDescent="0.35">
      <c r="A115" s="306"/>
      <c r="B115" s="157" t="s">
        <v>123</v>
      </c>
      <c r="C115" s="22">
        <v>1</v>
      </c>
      <c r="D115" s="159" t="s">
        <v>100</v>
      </c>
      <c r="E115" s="160">
        <v>3.05</v>
      </c>
      <c r="F115" s="311"/>
      <c r="G115" s="312"/>
      <c r="H115" s="313"/>
      <c r="I115" s="200"/>
      <c r="J115" s="204">
        <f>(I113*E115*C115)+(I113*E116*C116)+(I113*E114*C114)</f>
        <v>12.846599999999999</v>
      </c>
      <c r="K115" s="196" t="s">
        <v>124</v>
      </c>
    </row>
    <row r="116" spans="1:18" ht="26.5" thickBot="1" x14ac:dyDescent="0.4">
      <c r="A116" s="308"/>
      <c r="B116" s="181" t="s">
        <v>125</v>
      </c>
      <c r="C116" s="23"/>
      <c r="D116" s="183" t="s">
        <v>100</v>
      </c>
      <c r="E116" s="184">
        <v>3.95</v>
      </c>
      <c r="F116" s="314"/>
      <c r="G116" s="315"/>
      <c r="H116" s="316"/>
      <c r="I116" s="185"/>
      <c r="J116" s="207">
        <f>J115+J114</f>
        <v>20.383099999999999</v>
      </c>
      <c r="K116" s="196" t="s">
        <v>126</v>
      </c>
    </row>
    <row r="117" spans="1:18" ht="15" thickBot="1" x14ac:dyDescent="0.4"/>
    <row r="118" spans="1:18" x14ac:dyDescent="0.35">
      <c r="A118" s="305" t="s">
        <v>133</v>
      </c>
      <c r="B118" s="309" t="s">
        <v>134</v>
      </c>
      <c r="C118" s="309"/>
      <c r="D118" s="309"/>
      <c r="E118" s="309"/>
      <c r="F118" s="309"/>
      <c r="G118" s="309"/>
      <c r="H118" s="309"/>
      <c r="I118" s="309"/>
      <c r="J118" s="310"/>
    </row>
    <row r="119" spans="1:18" ht="27" thickBot="1" x14ac:dyDescent="0.4">
      <c r="A119" s="306"/>
      <c r="B119" s="143" t="s">
        <v>90</v>
      </c>
      <c r="C119" s="144" t="s">
        <v>91</v>
      </c>
      <c r="D119" s="145" t="s">
        <v>92</v>
      </c>
      <c r="E119" s="146" t="s">
        <v>93</v>
      </c>
      <c r="F119" s="147" t="s">
        <v>94</v>
      </c>
      <c r="G119" s="148" t="s">
        <v>95</v>
      </c>
      <c r="H119" s="148" t="s">
        <v>96</v>
      </c>
      <c r="I119" s="148" t="s">
        <v>97</v>
      </c>
      <c r="J119" s="148" t="s">
        <v>98</v>
      </c>
    </row>
    <row r="120" spans="1:18" x14ac:dyDescent="0.35">
      <c r="A120" s="307"/>
      <c r="B120" s="149" t="s">
        <v>99</v>
      </c>
      <c r="C120" s="17">
        <v>1</v>
      </c>
      <c r="D120" s="151" t="s">
        <v>100</v>
      </c>
      <c r="E120" s="152">
        <v>2.97</v>
      </c>
      <c r="F120" s="153">
        <v>0.75</v>
      </c>
      <c r="G120" s="153" t="s">
        <v>101</v>
      </c>
      <c r="H120" s="155">
        <f>F120*C120</f>
        <v>0.75</v>
      </c>
      <c r="I120" s="153">
        <v>0</v>
      </c>
      <c r="J120" s="209">
        <f t="shared" ref="J120:J127" si="16">H120*E120</f>
        <v>2.2275</v>
      </c>
    </row>
    <row r="121" spans="1:18" x14ac:dyDescent="0.35">
      <c r="A121" s="307"/>
      <c r="B121" s="157" t="s">
        <v>102</v>
      </c>
      <c r="C121" s="19"/>
      <c r="D121" s="159" t="s">
        <v>100</v>
      </c>
      <c r="E121" s="160">
        <v>3.51</v>
      </c>
      <c r="F121" s="161">
        <v>0.75</v>
      </c>
      <c r="G121" s="161" t="s">
        <v>101</v>
      </c>
      <c r="H121" s="163">
        <f t="shared" ref="H121:H134" si="17">F121*C121</f>
        <v>0</v>
      </c>
      <c r="I121" s="161">
        <v>0</v>
      </c>
      <c r="J121" s="210">
        <f t="shared" si="16"/>
        <v>0</v>
      </c>
      <c r="Q121" s="99"/>
    </row>
    <row r="122" spans="1:18" ht="15.75" customHeight="1" x14ac:dyDescent="0.35">
      <c r="A122" s="307"/>
      <c r="B122" s="157" t="s">
        <v>104</v>
      </c>
      <c r="C122" s="19">
        <v>1</v>
      </c>
      <c r="D122" s="159" t="s">
        <v>100</v>
      </c>
      <c r="E122" s="160">
        <v>3.8</v>
      </c>
      <c r="F122" s="161">
        <v>0.1</v>
      </c>
      <c r="G122" s="161" t="s">
        <v>101</v>
      </c>
      <c r="H122" s="163">
        <f t="shared" si="17"/>
        <v>0.1</v>
      </c>
      <c r="I122" s="161">
        <v>0</v>
      </c>
      <c r="J122" s="210">
        <f t="shared" si="16"/>
        <v>0.38</v>
      </c>
      <c r="Q122" s="99"/>
    </row>
    <row r="123" spans="1:18" x14ac:dyDescent="0.35">
      <c r="A123" s="307"/>
      <c r="B123" s="157" t="s">
        <v>106</v>
      </c>
      <c r="C123" s="19"/>
      <c r="D123" s="159" t="s">
        <v>76</v>
      </c>
      <c r="E123" s="160">
        <v>0.7</v>
      </c>
      <c r="F123" s="161">
        <v>0.03</v>
      </c>
      <c r="G123" s="161">
        <v>6.6000000000000003E-2</v>
      </c>
      <c r="H123" s="163">
        <f t="shared" si="17"/>
        <v>0</v>
      </c>
      <c r="I123" s="161">
        <f t="shared" ref="I123:I134" si="18">G123*C123</f>
        <v>0</v>
      </c>
      <c r="J123" s="210">
        <f t="shared" si="16"/>
        <v>0</v>
      </c>
      <c r="Q123" s="99"/>
    </row>
    <row r="124" spans="1:18" ht="15" thickBot="1" x14ac:dyDescent="0.4">
      <c r="A124" s="307"/>
      <c r="B124" s="157" t="s">
        <v>108</v>
      </c>
      <c r="C124" s="19">
        <v>1</v>
      </c>
      <c r="D124" s="159" t="s">
        <v>76</v>
      </c>
      <c r="E124" s="160">
        <v>2.65</v>
      </c>
      <c r="F124" s="161">
        <v>0.3</v>
      </c>
      <c r="G124" s="161">
        <v>0.75</v>
      </c>
      <c r="H124" s="163">
        <f t="shared" si="17"/>
        <v>0.3</v>
      </c>
      <c r="I124" s="161">
        <f t="shared" si="18"/>
        <v>0.75</v>
      </c>
      <c r="J124" s="210">
        <f t="shared" si="16"/>
        <v>0.79499999999999993</v>
      </c>
      <c r="Q124" s="99"/>
    </row>
    <row r="125" spans="1:18" ht="15.5" thickTop="1" thickBot="1" x14ac:dyDescent="0.4">
      <c r="A125" s="307"/>
      <c r="B125" s="157" t="s">
        <v>110</v>
      </c>
      <c r="C125" s="19">
        <v>2</v>
      </c>
      <c r="D125" s="159" t="s">
        <v>76</v>
      </c>
      <c r="E125" s="160">
        <v>2.65</v>
      </c>
      <c r="F125" s="161">
        <v>0.45</v>
      </c>
      <c r="G125" s="161">
        <v>1</v>
      </c>
      <c r="H125" s="163">
        <f t="shared" si="17"/>
        <v>0.9</v>
      </c>
      <c r="I125" s="161">
        <f t="shared" si="18"/>
        <v>2</v>
      </c>
      <c r="J125" s="210">
        <f t="shared" si="16"/>
        <v>2.3849999999999998</v>
      </c>
      <c r="L125" s="165" t="s">
        <v>103</v>
      </c>
      <c r="M125" s="168">
        <f>D15</f>
        <v>0</v>
      </c>
      <c r="O125" s="302" t="s">
        <v>253</v>
      </c>
      <c r="P125" s="303"/>
      <c r="Q125" s="303"/>
      <c r="R125" s="304"/>
    </row>
    <row r="126" spans="1:18" ht="15" thickBot="1" x14ac:dyDescent="0.4">
      <c r="A126" s="307"/>
      <c r="B126" s="157" t="s">
        <v>112</v>
      </c>
      <c r="C126" s="19"/>
      <c r="D126" s="159" t="s">
        <v>76</v>
      </c>
      <c r="E126" s="160">
        <v>1.1299999999999999</v>
      </c>
      <c r="F126" s="161">
        <v>0.6</v>
      </c>
      <c r="G126" s="161">
        <v>1.32</v>
      </c>
      <c r="H126" s="163">
        <f t="shared" si="17"/>
        <v>0</v>
      </c>
      <c r="I126" s="161">
        <f t="shared" si="18"/>
        <v>0</v>
      </c>
      <c r="J126" s="210">
        <f t="shared" si="16"/>
        <v>0</v>
      </c>
      <c r="L126" s="167" t="s">
        <v>105</v>
      </c>
      <c r="M126" s="168">
        <f>M125*10%</f>
        <v>0</v>
      </c>
      <c r="N126" s="2"/>
      <c r="O126" s="92">
        <f>(H135+I135)*M125</f>
        <v>0</v>
      </c>
      <c r="P126" s="297" t="s">
        <v>254</v>
      </c>
      <c r="Q126" s="297"/>
      <c r="R126" s="298"/>
    </row>
    <row r="127" spans="1:18" ht="15" thickBot="1" x14ac:dyDescent="0.4">
      <c r="A127" s="307"/>
      <c r="B127" s="157" t="s">
        <v>114</v>
      </c>
      <c r="C127" s="19">
        <v>1</v>
      </c>
      <c r="D127" s="159" t="s">
        <v>76</v>
      </c>
      <c r="E127" s="160">
        <v>2.65</v>
      </c>
      <c r="F127" s="161">
        <v>0.8</v>
      </c>
      <c r="G127" s="161">
        <v>1.7600000000000002</v>
      </c>
      <c r="H127" s="163">
        <f t="shared" si="17"/>
        <v>0.8</v>
      </c>
      <c r="I127" s="161">
        <f t="shared" si="18"/>
        <v>1.7600000000000002</v>
      </c>
      <c r="J127" s="210">
        <f t="shared" si="16"/>
        <v>2.12</v>
      </c>
      <c r="L127" s="171" t="s">
        <v>235</v>
      </c>
      <c r="M127" s="20">
        <v>0</v>
      </c>
      <c r="O127" s="93">
        <v>50</v>
      </c>
      <c r="P127" s="296" t="s">
        <v>255</v>
      </c>
      <c r="Q127" s="297"/>
      <c r="R127" s="298"/>
    </row>
    <row r="128" spans="1:18" ht="15.5" thickTop="1" thickBot="1" x14ac:dyDescent="0.4">
      <c r="A128" s="307"/>
      <c r="B128" s="157" t="s">
        <v>116</v>
      </c>
      <c r="C128" s="19"/>
      <c r="D128" s="159" t="s">
        <v>76</v>
      </c>
      <c r="E128" s="160">
        <v>6.8</v>
      </c>
      <c r="F128" s="161">
        <v>0.5</v>
      </c>
      <c r="G128" s="161">
        <v>0.75</v>
      </c>
      <c r="H128" s="163">
        <f t="shared" si="17"/>
        <v>0</v>
      </c>
      <c r="I128" s="161">
        <f t="shared" si="18"/>
        <v>0</v>
      </c>
      <c r="J128" s="210">
        <f t="shared" ref="J128:J134" si="19">C128*E128</f>
        <v>0</v>
      </c>
      <c r="L128" s="171" t="s">
        <v>252</v>
      </c>
      <c r="M128" s="20">
        <v>0</v>
      </c>
      <c r="O128" s="94">
        <f>O126/O127</f>
        <v>0</v>
      </c>
      <c r="P128" s="299" t="s">
        <v>256</v>
      </c>
      <c r="Q128" s="300"/>
      <c r="R128" s="301"/>
    </row>
    <row r="129" spans="1:17" ht="15" thickBot="1" x14ac:dyDescent="0.4">
      <c r="A129" s="307"/>
      <c r="B129" s="157" t="s">
        <v>117</v>
      </c>
      <c r="C129" s="19"/>
      <c r="D129" s="159" t="s">
        <v>76</v>
      </c>
      <c r="E129" s="160">
        <v>13.75</v>
      </c>
      <c r="F129" s="161">
        <v>1</v>
      </c>
      <c r="G129" s="161">
        <v>0.75</v>
      </c>
      <c r="H129" s="163">
        <f t="shared" si="17"/>
        <v>0</v>
      </c>
      <c r="I129" s="161">
        <f t="shared" si="18"/>
        <v>0</v>
      </c>
      <c r="J129" s="210">
        <f t="shared" si="19"/>
        <v>0</v>
      </c>
      <c r="L129" s="171" t="s">
        <v>109</v>
      </c>
      <c r="M129" s="173">
        <v>22</v>
      </c>
    </row>
    <row r="130" spans="1:17" ht="15" thickBot="1" x14ac:dyDescent="0.4">
      <c r="A130" s="307"/>
      <c r="B130" s="157" t="s">
        <v>118</v>
      </c>
      <c r="C130" s="19"/>
      <c r="D130" s="159" t="s">
        <v>76</v>
      </c>
      <c r="E130" s="160">
        <v>9.16</v>
      </c>
      <c r="F130" s="161">
        <v>1.5</v>
      </c>
      <c r="G130" s="161">
        <v>0.75</v>
      </c>
      <c r="H130" s="163">
        <f t="shared" si="17"/>
        <v>0</v>
      </c>
      <c r="I130" s="161">
        <f t="shared" si="18"/>
        <v>0</v>
      </c>
      <c r="J130" s="210">
        <f t="shared" si="19"/>
        <v>0</v>
      </c>
      <c r="L130" s="171" t="s">
        <v>111</v>
      </c>
      <c r="M130" s="173">
        <f>(M125+M126)*J138</f>
        <v>0</v>
      </c>
    </row>
    <row r="131" spans="1:17" ht="15" thickBot="1" x14ac:dyDescent="0.4">
      <c r="A131" s="307"/>
      <c r="B131" s="157" t="s">
        <v>119</v>
      </c>
      <c r="C131" s="19"/>
      <c r="D131" s="159" t="s">
        <v>76</v>
      </c>
      <c r="E131" s="160">
        <v>0</v>
      </c>
      <c r="F131" s="161">
        <v>0</v>
      </c>
      <c r="G131" s="161">
        <v>0</v>
      </c>
      <c r="H131" s="163">
        <f t="shared" si="17"/>
        <v>0</v>
      </c>
      <c r="I131" s="161">
        <f t="shared" si="18"/>
        <v>0</v>
      </c>
      <c r="J131" s="210">
        <f t="shared" si="19"/>
        <v>0</v>
      </c>
      <c r="L131" s="171" t="s">
        <v>113</v>
      </c>
      <c r="M131" s="173">
        <f>M127*(M128*8)*M129</f>
        <v>0</v>
      </c>
    </row>
    <row r="132" spans="1:17" ht="15" thickBot="1" x14ac:dyDescent="0.4">
      <c r="A132" s="307"/>
      <c r="B132" s="211">
        <f>B44</f>
        <v>0</v>
      </c>
      <c r="C132" s="19"/>
      <c r="D132" s="159"/>
      <c r="E132" s="160">
        <v>0</v>
      </c>
      <c r="F132" s="161">
        <v>0</v>
      </c>
      <c r="G132" s="161">
        <v>0</v>
      </c>
      <c r="H132" s="163">
        <f t="shared" si="17"/>
        <v>0</v>
      </c>
      <c r="I132" s="161">
        <f t="shared" si="18"/>
        <v>0</v>
      </c>
      <c r="J132" s="210">
        <f t="shared" si="19"/>
        <v>0</v>
      </c>
      <c r="L132" s="174" t="s">
        <v>115</v>
      </c>
      <c r="M132" s="173">
        <f>(M131+M130)*1.15</f>
        <v>0</v>
      </c>
    </row>
    <row r="133" spans="1:17" x14ac:dyDescent="0.35">
      <c r="A133" s="307"/>
      <c r="B133" s="211">
        <f>B45</f>
        <v>0</v>
      </c>
      <c r="C133" s="19"/>
      <c r="D133" s="159"/>
      <c r="E133" s="160">
        <v>0</v>
      </c>
      <c r="F133" s="161">
        <v>0</v>
      </c>
      <c r="G133" s="161">
        <v>0</v>
      </c>
      <c r="H133" s="163">
        <f t="shared" si="17"/>
        <v>0</v>
      </c>
      <c r="I133" s="161">
        <f t="shared" si="18"/>
        <v>0</v>
      </c>
      <c r="J133" s="210">
        <f t="shared" si="19"/>
        <v>0</v>
      </c>
    </row>
    <row r="134" spans="1:17" ht="15" thickBot="1" x14ac:dyDescent="0.4">
      <c r="A134" s="307"/>
      <c r="B134" s="211">
        <f>B46</f>
        <v>0</v>
      </c>
      <c r="C134" s="25"/>
      <c r="D134" s="183"/>
      <c r="E134" s="160">
        <v>0</v>
      </c>
      <c r="F134" s="185">
        <v>0</v>
      </c>
      <c r="G134" s="185">
        <v>0</v>
      </c>
      <c r="H134" s="163">
        <f t="shared" si="17"/>
        <v>0</v>
      </c>
      <c r="I134" s="161">
        <f t="shared" si="18"/>
        <v>0</v>
      </c>
      <c r="J134" s="222">
        <f t="shared" si="19"/>
        <v>0</v>
      </c>
    </row>
    <row r="135" spans="1:17" ht="15.75" customHeight="1" thickBot="1" x14ac:dyDescent="0.4">
      <c r="A135" s="307"/>
      <c r="B135" s="189"/>
      <c r="C135" s="223"/>
      <c r="D135" s="191"/>
      <c r="E135" s="192"/>
      <c r="F135" s="191"/>
      <c r="G135" s="191"/>
      <c r="H135" s="224">
        <f>SUM(H120:H134)</f>
        <v>2.8499999999999996</v>
      </c>
      <c r="I135" s="225">
        <f>SUM(I120:I134)</f>
        <v>4.51</v>
      </c>
      <c r="J135" s="195"/>
      <c r="K135" s="196"/>
    </row>
    <row r="136" spans="1:17" x14ac:dyDescent="0.35">
      <c r="A136" s="306"/>
      <c r="B136" s="214" t="s">
        <v>121</v>
      </c>
      <c r="C136" s="17"/>
      <c r="D136" s="198" t="s">
        <v>100</v>
      </c>
      <c r="E136" s="199">
        <v>1.89</v>
      </c>
      <c r="F136" s="311" t="s">
        <v>122</v>
      </c>
      <c r="G136" s="312"/>
      <c r="H136" s="313"/>
      <c r="I136" s="200"/>
      <c r="J136" s="201">
        <f>SUM(J120:J134)</f>
        <v>7.9074999999999998</v>
      </c>
      <c r="K136" s="196" t="s">
        <v>249</v>
      </c>
    </row>
    <row r="137" spans="1:17" ht="26" x14ac:dyDescent="0.35">
      <c r="A137" s="306"/>
      <c r="B137" s="157" t="s">
        <v>123</v>
      </c>
      <c r="C137" s="22"/>
      <c r="D137" s="159" t="s">
        <v>100</v>
      </c>
      <c r="E137" s="160">
        <v>3.05</v>
      </c>
      <c r="F137" s="311"/>
      <c r="G137" s="312"/>
      <c r="H137" s="313"/>
      <c r="I137" s="200"/>
      <c r="J137" s="204">
        <f>(I135*E137*C137)+(I135*E138*C138)+(I135*E136*C136)</f>
        <v>0</v>
      </c>
      <c r="K137" s="196" t="s">
        <v>124</v>
      </c>
    </row>
    <row r="138" spans="1:17" ht="26.5" thickBot="1" x14ac:dyDescent="0.4">
      <c r="A138" s="308"/>
      <c r="B138" s="181" t="s">
        <v>125</v>
      </c>
      <c r="C138" s="23"/>
      <c r="D138" s="183" t="s">
        <v>100</v>
      </c>
      <c r="E138" s="184">
        <v>3.95</v>
      </c>
      <c r="F138" s="314"/>
      <c r="G138" s="315"/>
      <c r="H138" s="316"/>
      <c r="I138" s="185"/>
      <c r="J138" s="207">
        <f>J137+J136</f>
        <v>7.9074999999999998</v>
      </c>
      <c r="K138" s="196" t="s">
        <v>126</v>
      </c>
    </row>
    <row r="139" spans="1:17" x14ac:dyDescent="0.35">
      <c r="G139" s="99"/>
      <c r="H139" s="99"/>
      <c r="I139" s="99"/>
      <c r="J139" s="208"/>
    </row>
    <row r="140" spans="1:17" ht="15" hidden="1" customHeight="1" x14ac:dyDescent="0.35">
      <c r="A140" s="305" t="s">
        <v>135</v>
      </c>
      <c r="B140" s="309" t="s">
        <v>136</v>
      </c>
      <c r="C140" s="309"/>
      <c r="D140" s="309"/>
      <c r="E140" s="309"/>
      <c r="F140" s="309"/>
      <c r="G140" s="309"/>
      <c r="H140" s="309"/>
      <c r="I140" s="309"/>
      <c r="J140" s="310"/>
    </row>
    <row r="141" spans="1:17" ht="27" hidden="1" customHeight="1" x14ac:dyDescent="0.35">
      <c r="A141" s="306"/>
      <c r="B141" s="143" t="s">
        <v>90</v>
      </c>
      <c r="C141" s="144" t="s">
        <v>91</v>
      </c>
      <c r="D141" s="145" t="s">
        <v>92</v>
      </c>
      <c r="E141" s="146" t="s">
        <v>93</v>
      </c>
      <c r="F141" s="147" t="s">
        <v>94</v>
      </c>
      <c r="G141" s="148" t="s">
        <v>95</v>
      </c>
      <c r="H141" s="148" t="s">
        <v>96</v>
      </c>
      <c r="I141" s="148" t="s">
        <v>97</v>
      </c>
      <c r="J141" s="148" t="s">
        <v>98</v>
      </c>
    </row>
    <row r="142" spans="1:17" ht="15.75" hidden="1" customHeight="1" x14ac:dyDescent="0.35">
      <c r="A142" s="306"/>
      <c r="B142" s="227" t="s">
        <v>99</v>
      </c>
      <c r="C142" s="150"/>
      <c r="D142" s="153" t="s">
        <v>100</v>
      </c>
      <c r="E142" s="152">
        <v>3.56</v>
      </c>
      <c r="F142" s="153">
        <v>0.75</v>
      </c>
      <c r="G142" s="154" t="s">
        <v>101</v>
      </c>
      <c r="H142" s="215">
        <f t="shared" ref="H142:H154" si="20">C142*F142</f>
        <v>0</v>
      </c>
      <c r="I142" s="153">
        <v>0</v>
      </c>
      <c r="J142" s="209">
        <f t="shared" ref="J142:J150" si="21">H142*E142</f>
        <v>0</v>
      </c>
    </row>
    <row r="143" spans="1:17" ht="15.75" hidden="1" customHeight="1" x14ac:dyDescent="0.35">
      <c r="A143" s="306"/>
      <c r="B143" s="228" t="s">
        <v>102</v>
      </c>
      <c r="C143" s="158"/>
      <c r="D143" s="161" t="s">
        <v>100</v>
      </c>
      <c r="E143" s="160">
        <v>4.5999999999999996</v>
      </c>
      <c r="F143" s="161">
        <v>0.75</v>
      </c>
      <c r="G143" s="162" t="s">
        <v>101</v>
      </c>
      <c r="H143" s="216">
        <f t="shared" si="20"/>
        <v>0</v>
      </c>
      <c r="I143" s="161">
        <v>0</v>
      </c>
      <c r="J143" s="210">
        <f t="shared" si="21"/>
        <v>0</v>
      </c>
      <c r="Q143" s="99"/>
    </row>
    <row r="144" spans="1:17" ht="27" hidden="1" customHeight="1" x14ac:dyDescent="0.35">
      <c r="A144" s="306"/>
      <c r="B144" s="229" t="s">
        <v>48</v>
      </c>
      <c r="C144" s="230"/>
      <c r="D144" s="231" t="s">
        <v>100</v>
      </c>
      <c r="E144" s="232">
        <v>3.6</v>
      </c>
      <c r="F144" s="231">
        <v>1</v>
      </c>
      <c r="G144" s="233" t="s">
        <v>101</v>
      </c>
      <c r="H144" s="229">
        <f t="shared" si="20"/>
        <v>0</v>
      </c>
      <c r="I144" s="231">
        <v>0</v>
      </c>
      <c r="J144" s="234">
        <f t="shared" si="21"/>
        <v>0</v>
      </c>
      <c r="N144" s="196"/>
      <c r="Q144" s="99"/>
    </row>
    <row r="145" spans="1:17" ht="15.75" hidden="1" customHeight="1" x14ac:dyDescent="0.35">
      <c r="A145" s="306"/>
      <c r="B145" s="228" t="s">
        <v>104</v>
      </c>
      <c r="C145" s="158"/>
      <c r="D145" s="161" t="s">
        <v>100</v>
      </c>
      <c r="E145" s="160">
        <v>3.5</v>
      </c>
      <c r="F145" s="161">
        <v>0.1</v>
      </c>
      <c r="G145" s="162" t="s">
        <v>101</v>
      </c>
      <c r="H145" s="216">
        <f t="shared" si="20"/>
        <v>0</v>
      </c>
      <c r="I145" s="161">
        <v>0</v>
      </c>
      <c r="J145" s="210">
        <f t="shared" si="21"/>
        <v>0</v>
      </c>
      <c r="Q145" s="99"/>
    </row>
    <row r="146" spans="1:17" ht="15.75" hidden="1" customHeight="1" x14ac:dyDescent="0.35">
      <c r="A146" s="306"/>
      <c r="B146" s="228" t="s">
        <v>106</v>
      </c>
      <c r="C146" s="169"/>
      <c r="D146" s="161" t="s">
        <v>76</v>
      </c>
      <c r="E146" s="160">
        <v>0.6</v>
      </c>
      <c r="F146" s="161">
        <v>0.03</v>
      </c>
      <c r="G146" s="170">
        <f>(2.2*F146)</f>
        <v>6.6000000000000003E-2</v>
      </c>
      <c r="H146" s="216">
        <f t="shared" si="20"/>
        <v>0</v>
      </c>
      <c r="I146" s="161">
        <f t="shared" ref="I146:I154" si="22">C146*G146</f>
        <v>0</v>
      </c>
      <c r="J146" s="210">
        <f t="shared" si="21"/>
        <v>0</v>
      </c>
      <c r="Q146" s="99"/>
    </row>
    <row r="147" spans="1:17" ht="15.75" hidden="1" customHeight="1" x14ac:dyDescent="0.35">
      <c r="A147" s="306"/>
      <c r="B147" s="228" t="s">
        <v>108</v>
      </c>
      <c r="C147" s="169"/>
      <c r="D147" s="161" t="s">
        <v>76</v>
      </c>
      <c r="E147" s="160">
        <v>2.14</v>
      </c>
      <c r="F147" s="161">
        <v>0.3</v>
      </c>
      <c r="G147" s="170">
        <f>(2.2*F147)</f>
        <v>0.66</v>
      </c>
      <c r="H147" s="216">
        <f t="shared" si="20"/>
        <v>0</v>
      </c>
      <c r="I147" s="161">
        <f t="shared" si="22"/>
        <v>0</v>
      </c>
      <c r="J147" s="210">
        <f t="shared" si="21"/>
        <v>0</v>
      </c>
      <c r="Q147" s="99"/>
    </row>
    <row r="148" spans="1:17" ht="15.75" hidden="1" customHeight="1" x14ac:dyDescent="0.35">
      <c r="A148" s="306"/>
      <c r="B148" s="228" t="s">
        <v>110</v>
      </c>
      <c r="C148" s="169"/>
      <c r="D148" s="161" t="s">
        <v>76</v>
      </c>
      <c r="E148" s="160">
        <v>2.09</v>
      </c>
      <c r="F148" s="161">
        <v>0.45</v>
      </c>
      <c r="G148" s="170">
        <f>(2.2*F148)</f>
        <v>0.9900000000000001</v>
      </c>
      <c r="H148" s="216">
        <f t="shared" si="20"/>
        <v>0</v>
      </c>
      <c r="I148" s="161">
        <f t="shared" si="22"/>
        <v>0</v>
      </c>
      <c r="J148" s="210">
        <f t="shared" si="21"/>
        <v>0</v>
      </c>
      <c r="L148" s="196" t="s">
        <v>103</v>
      </c>
      <c r="M148" s="168">
        <f>D16</f>
        <v>0</v>
      </c>
      <c r="Q148" s="99"/>
    </row>
    <row r="149" spans="1:17" ht="15.75" hidden="1" customHeight="1" x14ac:dyDescent="0.35">
      <c r="A149" s="306"/>
      <c r="B149" s="228" t="s">
        <v>112</v>
      </c>
      <c r="C149" s="169"/>
      <c r="D149" s="161" t="s">
        <v>76</v>
      </c>
      <c r="E149" s="160">
        <v>1.55</v>
      </c>
      <c r="F149" s="161">
        <v>0.6</v>
      </c>
      <c r="G149" s="170">
        <f>(2.2*F149)</f>
        <v>1.32</v>
      </c>
      <c r="H149" s="216">
        <f t="shared" si="20"/>
        <v>0</v>
      </c>
      <c r="I149" s="161">
        <f t="shared" si="22"/>
        <v>0</v>
      </c>
      <c r="J149" s="210">
        <f t="shared" si="21"/>
        <v>0</v>
      </c>
      <c r="L149" s="130" t="s">
        <v>105</v>
      </c>
      <c r="M149" s="168">
        <f>M148*10%</f>
        <v>0</v>
      </c>
      <c r="N149" s="2"/>
      <c r="Q149" s="99"/>
    </row>
    <row r="150" spans="1:17" ht="15" hidden="1" customHeight="1" x14ac:dyDescent="0.35">
      <c r="A150" s="306"/>
      <c r="B150" s="228" t="s">
        <v>114</v>
      </c>
      <c r="C150" s="169"/>
      <c r="D150" s="161" t="s">
        <v>76</v>
      </c>
      <c r="E150" s="160">
        <v>1.55</v>
      </c>
      <c r="F150" s="161">
        <v>0.8</v>
      </c>
      <c r="G150" s="170">
        <f>(2.2*F150)</f>
        <v>1.7600000000000002</v>
      </c>
      <c r="H150" s="216">
        <f t="shared" si="20"/>
        <v>0</v>
      </c>
      <c r="I150" s="161">
        <f t="shared" si="22"/>
        <v>0</v>
      </c>
      <c r="J150" s="210">
        <f t="shared" si="21"/>
        <v>0</v>
      </c>
      <c r="L150" s="129" t="s">
        <v>107</v>
      </c>
      <c r="M150" s="172"/>
      <c r="Q150" s="99"/>
    </row>
    <row r="151" spans="1:17" ht="15" hidden="1" customHeight="1" x14ac:dyDescent="0.35">
      <c r="A151" s="306"/>
      <c r="B151" s="228" t="s">
        <v>116</v>
      </c>
      <c r="C151" s="169"/>
      <c r="D151" s="161" t="s">
        <v>76</v>
      </c>
      <c r="E151" s="160">
        <v>5</v>
      </c>
      <c r="F151" s="161"/>
      <c r="G151" s="170">
        <v>0.75</v>
      </c>
      <c r="H151" s="216">
        <f t="shared" si="20"/>
        <v>0</v>
      </c>
      <c r="I151" s="161">
        <f t="shared" si="22"/>
        <v>0</v>
      </c>
      <c r="J151" s="210">
        <f>C151*E151</f>
        <v>0</v>
      </c>
      <c r="L151" s="129" t="s">
        <v>109</v>
      </c>
      <c r="M151" s="173">
        <v>20</v>
      </c>
    </row>
    <row r="152" spans="1:17" ht="15" hidden="1" customHeight="1" x14ac:dyDescent="0.35">
      <c r="A152" s="306"/>
      <c r="B152" s="228" t="s">
        <v>117</v>
      </c>
      <c r="C152" s="169"/>
      <c r="D152" s="161" t="s">
        <v>76</v>
      </c>
      <c r="E152" s="160">
        <v>8.66</v>
      </c>
      <c r="F152" s="161"/>
      <c r="G152" s="170">
        <v>0.75</v>
      </c>
      <c r="H152" s="216">
        <f t="shared" si="20"/>
        <v>0</v>
      </c>
      <c r="I152" s="161">
        <f t="shared" si="22"/>
        <v>0</v>
      </c>
      <c r="J152" s="210">
        <f>C152*E152</f>
        <v>0</v>
      </c>
      <c r="L152" s="129" t="s">
        <v>111</v>
      </c>
      <c r="M152" s="173">
        <f>(M148+M149)*J158</f>
        <v>0</v>
      </c>
    </row>
    <row r="153" spans="1:17" ht="15" hidden="1" customHeight="1" x14ac:dyDescent="0.35">
      <c r="A153" s="306"/>
      <c r="B153" s="228" t="s">
        <v>118</v>
      </c>
      <c r="C153" s="158"/>
      <c r="D153" s="161" t="s">
        <v>76</v>
      </c>
      <c r="E153" s="160">
        <v>9.16</v>
      </c>
      <c r="F153" s="161"/>
      <c r="G153" s="170">
        <v>0.75</v>
      </c>
      <c r="H153" s="216">
        <f t="shared" si="20"/>
        <v>0</v>
      </c>
      <c r="I153" s="161">
        <f t="shared" si="22"/>
        <v>0</v>
      </c>
      <c r="J153" s="210">
        <f>C153*E153</f>
        <v>0</v>
      </c>
      <c r="L153" s="129" t="s">
        <v>113</v>
      </c>
      <c r="M153" s="173">
        <f>M150*M148*M151</f>
        <v>0</v>
      </c>
    </row>
    <row r="154" spans="1:17" ht="15.75" hidden="1" customHeight="1" x14ac:dyDescent="0.35">
      <c r="A154" s="306"/>
      <c r="B154" s="235" t="s">
        <v>119</v>
      </c>
      <c r="C154" s="182"/>
      <c r="D154" s="185" t="s">
        <v>76</v>
      </c>
      <c r="E154" s="184">
        <v>3.74</v>
      </c>
      <c r="F154" s="185"/>
      <c r="G154" s="186">
        <v>0.75</v>
      </c>
      <c r="H154" s="236">
        <f t="shared" si="20"/>
        <v>0</v>
      </c>
      <c r="I154" s="185">
        <f t="shared" si="22"/>
        <v>0</v>
      </c>
      <c r="J154" s="237">
        <f>C154*E154</f>
        <v>0</v>
      </c>
      <c r="L154" s="129" t="s">
        <v>115</v>
      </c>
      <c r="M154" s="173">
        <f>(M153+M152)*1.15</f>
        <v>0</v>
      </c>
    </row>
    <row r="155" spans="1:17" ht="15.75" hidden="1" customHeight="1" x14ac:dyDescent="0.35">
      <c r="A155" s="306"/>
      <c r="B155" s="238"/>
      <c r="C155" s="239"/>
      <c r="D155" s="240"/>
      <c r="E155" s="241"/>
      <c r="F155" s="242"/>
      <c r="G155" s="243"/>
      <c r="H155" s="244"/>
      <c r="I155" s="243">
        <f>SUM(I144:I154)</f>
        <v>0</v>
      </c>
      <c r="J155" s="245">
        <f>SUM(J142:J154)</f>
        <v>0</v>
      </c>
      <c r="K155" s="196" t="s">
        <v>120</v>
      </c>
      <c r="M155" s="2"/>
    </row>
    <row r="156" spans="1:17" ht="15" hidden="1" customHeight="1" x14ac:dyDescent="0.35">
      <c r="A156" s="306"/>
      <c r="B156" s="246" t="s">
        <v>121</v>
      </c>
      <c r="C156" s="150"/>
      <c r="D156" s="151" t="s">
        <v>100</v>
      </c>
      <c r="E156" s="152">
        <v>1.5</v>
      </c>
      <c r="F156" s="321" t="s">
        <v>122</v>
      </c>
      <c r="G156" s="322"/>
      <c r="H156" s="323"/>
      <c r="I156" s="153"/>
      <c r="J156" s="209"/>
      <c r="K156" s="196"/>
    </row>
    <row r="157" spans="1:17" ht="39" hidden="1" customHeight="1" x14ac:dyDescent="0.35">
      <c r="A157" s="306"/>
      <c r="B157" s="202" t="s">
        <v>123</v>
      </c>
      <c r="C157" s="203"/>
      <c r="D157" s="159" t="s">
        <v>100</v>
      </c>
      <c r="E157" s="160">
        <v>2.65</v>
      </c>
      <c r="F157" s="311"/>
      <c r="G157" s="312"/>
      <c r="H157" s="313"/>
      <c r="I157" s="200"/>
      <c r="J157" s="247">
        <f>(I155*E157*C157)+(I155*E158*C158)+(I155*E156*C156)</f>
        <v>0</v>
      </c>
      <c r="K157" s="196" t="s">
        <v>124</v>
      </c>
    </row>
    <row r="158" spans="1:17" ht="52.5" hidden="1" customHeight="1" x14ac:dyDescent="0.35">
      <c r="A158" s="308"/>
      <c r="B158" s="205" t="s">
        <v>125</v>
      </c>
      <c r="C158" s="206"/>
      <c r="D158" s="183" t="s">
        <v>100</v>
      </c>
      <c r="E158" s="184">
        <v>3.8</v>
      </c>
      <c r="F158" s="314"/>
      <c r="G158" s="315"/>
      <c r="H158" s="316"/>
      <c r="I158" s="185"/>
      <c r="J158" s="237">
        <f>J157+J155</f>
        <v>0</v>
      </c>
      <c r="K158" s="196" t="s">
        <v>126</v>
      </c>
    </row>
    <row r="159" spans="1:17" s="2" customFormat="1" ht="15" thickBot="1" x14ac:dyDescent="0.4">
      <c r="L159" s="129"/>
      <c r="M159" s="129"/>
    </row>
    <row r="160" spans="1:17" x14ac:dyDescent="0.35">
      <c r="A160" s="305" t="s">
        <v>137</v>
      </c>
      <c r="B160" s="309" t="s">
        <v>138</v>
      </c>
      <c r="C160" s="309"/>
      <c r="D160" s="309"/>
      <c r="E160" s="309"/>
      <c r="F160" s="309"/>
      <c r="G160" s="309"/>
      <c r="H160" s="309"/>
      <c r="I160" s="309"/>
      <c r="J160" s="310"/>
    </row>
    <row r="161" spans="1:18" ht="27" thickBot="1" x14ac:dyDescent="0.4">
      <c r="A161" s="306"/>
      <c r="B161" s="143" t="s">
        <v>90</v>
      </c>
      <c r="C161" s="144" t="s">
        <v>91</v>
      </c>
      <c r="D161" s="145" t="s">
        <v>92</v>
      </c>
      <c r="E161" s="146" t="s">
        <v>93</v>
      </c>
      <c r="F161" s="147" t="s">
        <v>94</v>
      </c>
      <c r="G161" s="148" t="s">
        <v>95</v>
      </c>
      <c r="H161" s="148" t="s">
        <v>96</v>
      </c>
      <c r="I161" s="148" t="s">
        <v>97</v>
      </c>
      <c r="J161" s="148" t="s">
        <v>98</v>
      </c>
    </row>
    <row r="162" spans="1:18" x14ac:dyDescent="0.35">
      <c r="A162" s="307"/>
      <c r="B162" s="149" t="s">
        <v>99</v>
      </c>
      <c r="C162" s="17"/>
      <c r="D162" s="151" t="s">
        <v>100</v>
      </c>
      <c r="E162" s="152">
        <v>2.97</v>
      </c>
      <c r="F162" s="153">
        <v>0.75</v>
      </c>
      <c r="G162" s="153" t="s">
        <v>101</v>
      </c>
      <c r="H162" s="155">
        <f>F162*C162</f>
        <v>0</v>
      </c>
      <c r="I162" s="153">
        <v>0</v>
      </c>
      <c r="J162" s="209">
        <f t="shared" ref="J162:J169" si="23">H162*E162</f>
        <v>0</v>
      </c>
    </row>
    <row r="163" spans="1:18" x14ac:dyDescent="0.35">
      <c r="A163" s="307"/>
      <c r="B163" s="157" t="s">
        <v>102</v>
      </c>
      <c r="C163" s="19"/>
      <c r="D163" s="159" t="s">
        <v>100</v>
      </c>
      <c r="E163" s="160">
        <v>3.51</v>
      </c>
      <c r="F163" s="161">
        <v>0.75</v>
      </c>
      <c r="G163" s="161" t="s">
        <v>101</v>
      </c>
      <c r="H163" s="163">
        <f t="shared" ref="H163:H176" si="24">F163*C163</f>
        <v>0</v>
      </c>
      <c r="I163" s="161">
        <v>0</v>
      </c>
      <c r="J163" s="210">
        <f t="shared" si="23"/>
        <v>0</v>
      </c>
      <c r="Q163" s="99"/>
    </row>
    <row r="164" spans="1:18" ht="15.75" customHeight="1" x14ac:dyDescent="0.35">
      <c r="A164" s="307"/>
      <c r="B164" s="157" t="s">
        <v>104</v>
      </c>
      <c r="C164" s="19">
        <v>1</v>
      </c>
      <c r="D164" s="159" t="s">
        <v>100</v>
      </c>
      <c r="E164" s="160">
        <v>3.8</v>
      </c>
      <c r="F164" s="161">
        <v>0.1</v>
      </c>
      <c r="G164" s="161" t="s">
        <v>101</v>
      </c>
      <c r="H164" s="163">
        <f t="shared" si="24"/>
        <v>0.1</v>
      </c>
      <c r="I164" s="161">
        <v>0</v>
      </c>
      <c r="J164" s="210">
        <f t="shared" si="23"/>
        <v>0.38</v>
      </c>
      <c r="L164" s="2"/>
      <c r="M164" s="2"/>
      <c r="Q164" s="99"/>
    </row>
    <row r="165" spans="1:18" x14ac:dyDescent="0.35">
      <c r="A165" s="307"/>
      <c r="B165" s="157" t="s">
        <v>106</v>
      </c>
      <c r="C165" s="19"/>
      <c r="D165" s="159" t="s">
        <v>76</v>
      </c>
      <c r="E165" s="160">
        <v>0.7</v>
      </c>
      <c r="F165" s="161">
        <v>0.03</v>
      </c>
      <c r="G165" s="161">
        <v>6.6000000000000003E-2</v>
      </c>
      <c r="H165" s="163">
        <f t="shared" si="24"/>
        <v>0</v>
      </c>
      <c r="I165" s="161">
        <f t="shared" ref="I165:I176" si="25">G165*C165</f>
        <v>0</v>
      </c>
      <c r="J165" s="210">
        <f t="shared" si="23"/>
        <v>0</v>
      </c>
      <c r="Q165" s="99"/>
    </row>
    <row r="166" spans="1:18" x14ac:dyDescent="0.35">
      <c r="A166" s="307"/>
      <c r="B166" s="157" t="s">
        <v>108</v>
      </c>
      <c r="C166" s="19">
        <v>1</v>
      </c>
      <c r="D166" s="159" t="s">
        <v>76</v>
      </c>
      <c r="E166" s="160">
        <v>2.65</v>
      </c>
      <c r="F166" s="161">
        <v>0.3</v>
      </c>
      <c r="G166" s="161">
        <v>0.75</v>
      </c>
      <c r="H166" s="163">
        <f t="shared" si="24"/>
        <v>0.3</v>
      </c>
      <c r="I166" s="161">
        <f t="shared" si="25"/>
        <v>0.75</v>
      </c>
      <c r="J166" s="210">
        <f t="shared" si="23"/>
        <v>0.79499999999999993</v>
      </c>
      <c r="Q166" s="99"/>
    </row>
    <row r="167" spans="1:18" ht="15" thickBot="1" x14ac:dyDescent="0.4">
      <c r="A167" s="307"/>
      <c r="B167" s="157" t="s">
        <v>110</v>
      </c>
      <c r="C167" s="19">
        <v>3</v>
      </c>
      <c r="D167" s="159" t="s">
        <v>76</v>
      </c>
      <c r="E167" s="160">
        <v>2.65</v>
      </c>
      <c r="F167" s="161">
        <v>0.45</v>
      </c>
      <c r="G167" s="161">
        <v>1</v>
      </c>
      <c r="H167" s="163">
        <f t="shared" si="24"/>
        <v>1.35</v>
      </c>
      <c r="I167" s="161">
        <f t="shared" si="25"/>
        <v>3</v>
      </c>
      <c r="J167" s="210">
        <f t="shared" si="23"/>
        <v>3.5775000000000001</v>
      </c>
      <c r="Q167" s="99"/>
    </row>
    <row r="168" spans="1:18" ht="15.5" thickTop="1" thickBot="1" x14ac:dyDescent="0.4">
      <c r="A168" s="307"/>
      <c r="B168" s="157" t="s">
        <v>112</v>
      </c>
      <c r="C168" s="19"/>
      <c r="D168" s="159" t="s">
        <v>76</v>
      </c>
      <c r="E168" s="160">
        <v>1.1299999999999999</v>
      </c>
      <c r="F168" s="161">
        <v>0.6</v>
      </c>
      <c r="G168" s="161">
        <v>1.32</v>
      </c>
      <c r="H168" s="163">
        <f t="shared" si="24"/>
        <v>0</v>
      </c>
      <c r="I168" s="161">
        <f t="shared" si="25"/>
        <v>0</v>
      </c>
      <c r="J168" s="210">
        <f t="shared" si="23"/>
        <v>0</v>
      </c>
      <c r="L168" s="165" t="s">
        <v>103</v>
      </c>
      <c r="M168" s="166">
        <f>C19</f>
        <v>0</v>
      </c>
      <c r="N168" s="2"/>
      <c r="O168" s="302" t="s">
        <v>253</v>
      </c>
      <c r="P168" s="303"/>
      <c r="Q168" s="303"/>
      <c r="R168" s="304"/>
    </row>
    <row r="169" spans="1:18" ht="15" thickBot="1" x14ac:dyDescent="0.4">
      <c r="A169" s="307"/>
      <c r="B169" s="157" t="s">
        <v>114</v>
      </c>
      <c r="C169" s="19">
        <v>1</v>
      </c>
      <c r="D169" s="159" t="s">
        <v>76</v>
      </c>
      <c r="E169" s="160">
        <v>2.65</v>
      </c>
      <c r="F169" s="161">
        <v>0.8</v>
      </c>
      <c r="G169" s="161">
        <v>1.7600000000000002</v>
      </c>
      <c r="H169" s="163">
        <f t="shared" si="24"/>
        <v>0.8</v>
      </c>
      <c r="I169" s="161">
        <f t="shared" si="25"/>
        <v>1.7600000000000002</v>
      </c>
      <c r="J169" s="210">
        <f t="shared" si="23"/>
        <v>2.12</v>
      </c>
      <c r="L169" s="167" t="s">
        <v>105</v>
      </c>
      <c r="M169" s="168">
        <f>M168*10%</f>
        <v>0</v>
      </c>
      <c r="O169" s="92">
        <f>(H177+I177)*M168</f>
        <v>0</v>
      </c>
      <c r="P169" s="297" t="s">
        <v>254</v>
      </c>
      <c r="Q169" s="297"/>
      <c r="R169" s="298"/>
    </row>
    <row r="170" spans="1:18" ht="15" thickBot="1" x14ac:dyDescent="0.4">
      <c r="A170" s="307"/>
      <c r="B170" s="157" t="s">
        <v>116</v>
      </c>
      <c r="C170" s="19"/>
      <c r="D170" s="159" t="s">
        <v>76</v>
      </c>
      <c r="E170" s="160">
        <v>6.8</v>
      </c>
      <c r="F170" s="161">
        <v>0.5</v>
      </c>
      <c r="G170" s="161">
        <v>0.75</v>
      </c>
      <c r="H170" s="163">
        <f t="shared" si="24"/>
        <v>0</v>
      </c>
      <c r="I170" s="161">
        <f t="shared" si="25"/>
        <v>0</v>
      </c>
      <c r="J170" s="210">
        <f t="shared" ref="J170:J176" si="26">C170*E170</f>
        <v>0</v>
      </c>
      <c r="L170" s="171" t="s">
        <v>235</v>
      </c>
      <c r="M170" s="20">
        <v>0</v>
      </c>
      <c r="O170" s="93">
        <v>50</v>
      </c>
      <c r="P170" s="296" t="s">
        <v>255</v>
      </c>
      <c r="Q170" s="297"/>
      <c r="R170" s="298"/>
    </row>
    <row r="171" spans="1:18" ht="15.5" thickTop="1" thickBot="1" x14ac:dyDescent="0.4">
      <c r="A171" s="307"/>
      <c r="B171" s="157" t="s">
        <v>117</v>
      </c>
      <c r="C171" s="19"/>
      <c r="D171" s="159" t="s">
        <v>76</v>
      </c>
      <c r="E171" s="160">
        <v>13.75</v>
      </c>
      <c r="F171" s="161">
        <v>1</v>
      </c>
      <c r="G171" s="161">
        <v>0.75</v>
      </c>
      <c r="H171" s="163">
        <f t="shared" si="24"/>
        <v>0</v>
      </c>
      <c r="I171" s="161">
        <f t="shared" si="25"/>
        <v>0</v>
      </c>
      <c r="J171" s="210">
        <f t="shared" si="26"/>
        <v>0</v>
      </c>
      <c r="L171" s="171" t="s">
        <v>252</v>
      </c>
      <c r="M171" s="20">
        <v>0</v>
      </c>
      <c r="O171" s="94">
        <f>O169/O170</f>
        <v>0</v>
      </c>
      <c r="P171" s="299" t="s">
        <v>256</v>
      </c>
      <c r="Q171" s="300"/>
      <c r="R171" s="301"/>
    </row>
    <row r="172" spans="1:18" ht="15" thickBot="1" x14ac:dyDescent="0.4">
      <c r="A172" s="307"/>
      <c r="B172" s="157" t="s">
        <v>118</v>
      </c>
      <c r="C172" s="19"/>
      <c r="D172" s="159" t="s">
        <v>76</v>
      </c>
      <c r="E172" s="160">
        <v>9.16</v>
      </c>
      <c r="F172" s="161">
        <v>1.5</v>
      </c>
      <c r="G172" s="161">
        <v>0.75</v>
      </c>
      <c r="H172" s="163">
        <f t="shared" si="24"/>
        <v>0</v>
      </c>
      <c r="I172" s="161">
        <f t="shared" si="25"/>
        <v>0</v>
      </c>
      <c r="J172" s="210">
        <f t="shared" si="26"/>
        <v>0</v>
      </c>
      <c r="L172" s="171" t="s">
        <v>109</v>
      </c>
      <c r="M172" s="173">
        <v>22</v>
      </c>
    </row>
    <row r="173" spans="1:18" ht="15" thickBot="1" x14ac:dyDescent="0.4">
      <c r="A173" s="307"/>
      <c r="B173" s="157" t="s">
        <v>119</v>
      </c>
      <c r="C173" s="19"/>
      <c r="D173" s="159" t="s">
        <v>76</v>
      </c>
      <c r="E173" s="160">
        <v>0</v>
      </c>
      <c r="F173" s="161">
        <v>0</v>
      </c>
      <c r="G173" s="161">
        <v>0</v>
      </c>
      <c r="H173" s="163">
        <f t="shared" si="24"/>
        <v>0</v>
      </c>
      <c r="I173" s="161">
        <f t="shared" si="25"/>
        <v>0</v>
      </c>
      <c r="J173" s="210">
        <f t="shared" si="26"/>
        <v>0</v>
      </c>
      <c r="L173" s="171" t="s">
        <v>111</v>
      </c>
      <c r="M173" s="173">
        <f>(M168+M169)*J180</f>
        <v>0</v>
      </c>
    </row>
    <row r="174" spans="1:18" ht="15" thickBot="1" x14ac:dyDescent="0.4">
      <c r="A174" s="307"/>
      <c r="B174" s="211">
        <f>B44</f>
        <v>0</v>
      </c>
      <c r="C174" s="19"/>
      <c r="D174" s="159"/>
      <c r="E174" s="160">
        <v>0</v>
      </c>
      <c r="F174" s="161">
        <v>0</v>
      </c>
      <c r="G174" s="161">
        <v>0</v>
      </c>
      <c r="H174" s="163">
        <f t="shared" si="24"/>
        <v>0</v>
      </c>
      <c r="I174" s="161">
        <f t="shared" si="25"/>
        <v>0</v>
      </c>
      <c r="J174" s="210">
        <f t="shared" si="26"/>
        <v>0</v>
      </c>
      <c r="L174" s="171" t="s">
        <v>113</v>
      </c>
      <c r="M174" s="173">
        <f>M170*(M171*8)*M172</f>
        <v>0</v>
      </c>
    </row>
    <row r="175" spans="1:18" ht="15" thickBot="1" x14ac:dyDescent="0.4">
      <c r="A175" s="307"/>
      <c r="B175" s="211">
        <f>B45</f>
        <v>0</v>
      </c>
      <c r="C175" s="19"/>
      <c r="D175" s="159"/>
      <c r="E175" s="160">
        <v>0</v>
      </c>
      <c r="F175" s="161">
        <v>0</v>
      </c>
      <c r="G175" s="161">
        <v>0</v>
      </c>
      <c r="H175" s="163">
        <f t="shared" si="24"/>
        <v>0</v>
      </c>
      <c r="I175" s="161">
        <f t="shared" si="25"/>
        <v>0</v>
      </c>
      <c r="J175" s="210">
        <f t="shared" si="26"/>
        <v>0</v>
      </c>
      <c r="L175" s="174" t="s">
        <v>115</v>
      </c>
      <c r="M175" s="173">
        <f>(M174+M173)*1.15</f>
        <v>0</v>
      </c>
    </row>
    <row r="176" spans="1:18" ht="15" thickBot="1" x14ac:dyDescent="0.4">
      <c r="A176" s="307"/>
      <c r="B176" s="211">
        <f>B46</f>
        <v>0</v>
      </c>
      <c r="C176" s="21"/>
      <c r="D176" s="176"/>
      <c r="E176" s="177">
        <v>0</v>
      </c>
      <c r="F176" s="178">
        <v>0</v>
      </c>
      <c r="G176" s="178">
        <v>0</v>
      </c>
      <c r="H176" s="163">
        <f t="shared" si="24"/>
        <v>0</v>
      </c>
      <c r="I176" s="178">
        <f t="shared" si="25"/>
        <v>0</v>
      </c>
      <c r="J176" s="222">
        <f t="shared" si="26"/>
        <v>0</v>
      </c>
    </row>
    <row r="177" spans="1:18" ht="15.75" customHeight="1" thickBot="1" x14ac:dyDescent="0.4">
      <c r="A177" s="307"/>
      <c r="B177" s="189"/>
      <c r="C177" s="190"/>
      <c r="D177" s="191"/>
      <c r="E177" s="192"/>
      <c r="F177" s="191"/>
      <c r="G177" s="191"/>
      <c r="H177" s="213">
        <f>SUM(H162:H176)</f>
        <v>2.5499999999999998</v>
      </c>
      <c r="I177" s="225">
        <f>SUM(I162:I176)</f>
        <v>5.51</v>
      </c>
      <c r="J177" s="195"/>
      <c r="K177" s="196"/>
    </row>
    <row r="178" spans="1:18" x14ac:dyDescent="0.35">
      <c r="A178" s="306"/>
      <c r="B178" s="197" t="s">
        <v>121</v>
      </c>
      <c r="C178" s="18"/>
      <c r="D178" s="248" t="s">
        <v>100</v>
      </c>
      <c r="E178" s="199">
        <v>1.89</v>
      </c>
      <c r="F178" s="311" t="s">
        <v>122</v>
      </c>
      <c r="G178" s="312"/>
      <c r="H178" s="313"/>
      <c r="I178" s="153"/>
      <c r="J178" s="201">
        <f>SUM(J162:J176)</f>
        <v>6.8724999999999996</v>
      </c>
      <c r="K178" s="196" t="s">
        <v>249</v>
      </c>
    </row>
    <row r="179" spans="1:18" ht="26" x14ac:dyDescent="0.35">
      <c r="A179" s="306"/>
      <c r="B179" s="202" t="s">
        <v>123</v>
      </c>
      <c r="C179" s="22">
        <v>1</v>
      </c>
      <c r="D179" s="249" t="s">
        <v>100</v>
      </c>
      <c r="E179" s="160">
        <v>3.05</v>
      </c>
      <c r="F179" s="311"/>
      <c r="G179" s="312"/>
      <c r="H179" s="313"/>
      <c r="I179" s="200"/>
      <c r="J179" s="204">
        <f>(I177*E179*C179)+(I177*E180*C180)+(I177*E178*C178)</f>
        <v>16.805499999999999</v>
      </c>
      <c r="K179" s="196" t="s">
        <v>124</v>
      </c>
    </row>
    <row r="180" spans="1:18" ht="26.5" thickBot="1" x14ac:dyDescent="0.4">
      <c r="A180" s="308"/>
      <c r="B180" s="205" t="s">
        <v>125</v>
      </c>
      <c r="C180" s="23"/>
      <c r="D180" s="250" t="s">
        <v>100</v>
      </c>
      <c r="E180" s="184">
        <v>3.95</v>
      </c>
      <c r="F180" s="314"/>
      <c r="G180" s="315"/>
      <c r="H180" s="316"/>
      <c r="I180" s="185"/>
      <c r="J180" s="207">
        <f>J179+J178</f>
        <v>23.677999999999997</v>
      </c>
      <c r="K180" s="196" t="s">
        <v>126</v>
      </c>
    </row>
    <row r="181" spans="1:18" s="2" customFormat="1" ht="15" thickBot="1" x14ac:dyDescent="0.4">
      <c r="L181" s="129"/>
      <c r="M181" s="129"/>
    </row>
    <row r="182" spans="1:18" x14ac:dyDescent="0.35">
      <c r="A182" s="305" t="s">
        <v>139</v>
      </c>
      <c r="B182" s="309" t="s">
        <v>140</v>
      </c>
      <c r="C182" s="309"/>
      <c r="D182" s="309"/>
      <c r="E182" s="309"/>
      <c r="F182" s="309"/>
      <c r="G182" s="309"/>
      <c r="H182" s="309"/>
      <c r="I182" s="309"/>
      <c r="J182" s="310"/>
    </row>
    <row r="183" spans="1:18" ht="27" thickBot="1" x14ac:dyDescent="0.4">
      <c r="A183" s="306"/>
      <c r="B183" s="143" t="s">
        <v>90</v>
      </c>
      <c r="C183" s="144" t="s">
        <v>91</v>
      </c>
      <c r="D183" s="145" t="s">
        <v>92</v>
      </c>
      <c r="E183" s="146" t="s">
        <v>93</v>
      </c>
      <c r="F183" s="147" t="s">
        <v>94</v>
      </c>
      <c r="G183" s="148" t="s">
        <v>95</v>
      </c>
      <c r="H183" s="148" t="s">
        <v>96</v>
      </c>
      <c r="I183" s="148" t="s">
        <v>97</v>
      </c>
      <c r="J183" s="148" t="s">
        <v>98</v>
      </c>
    </row>
    <row r="184" spans="1:18" x14ac:dyDescent="0.35">
      <c r="A184" s="307"/>
      <c r="B184" s="149" t="s">
        <v>99</v>
      </c>
      <c r="C184" s="17"/>
      <c r="D184" s="151" t="s">
        <v>100</v>
      </c>
      <c r="E184" s="152">
        <v>2.97</v>
      </c>
      <c r="F184" s="153">
        <v>0.75</v>
      </c>
      <c r="G184" s="153" t="s">
        <v>101</v>
      </c>
      <c r="H184" s="155">
        <f>F184*C184</f>
        <v>0</v>
      </c>
      <c r="I184" s="153">
        <v>0</v>
      </c>
      <c r="J184" s="209">
        <f t="shared" ref="J184:J191" si="27">H184*E184</f>
        <v>0</v>
      </c>
    </row>
    <row r="185" spans="1:18" x14ac:dyDescent="0.35">
      <c r="A185" s="307"/>
      <c r="B185" s="157" t="s">
        <v>102</v>
      </c>
      <c r="C185" s="19"/>
      <c r="D185" s="159" t="s">
        <v>100</v>
      </c>
      <c r="E185" s="160">
        <v>3.51</v>
      </c>
      <c r="F185" s="161">
        <v>0.75</v>
      </c>
      <c r="G185" s="161" t="s">
        <v>101</v>
      </c>
      <c r="H185" s="163">
        <f t="shared" ref="H185:H198" si="28">F185*C185</f>
        <v>0</v>
      </c>
      <c r="I185" s="161">
        <v>0</v>
      </c>
      <c r="J185" s="210">
        <f t="shared" si="27"/>
        <v>0</v>
      </c>
      <c r="Q185" s="99"/>
    </row>
    <row r="186" spans="1:18" ht="15.75" customHeight="1" x14ac:dyDescent="0.35">
      <c r="A186" s="307"/>
      <c r="B186" s="157" t="s">
        <v>104</v>
      </c>
      <c r="C186" s="19">
        <v>1</v>
      </c>
      <c r="D186" s="159" t="s">
        <v>100</v>
      </c>
      <c r="E186" s="160">
        <v>3.8</v>
      </c>
      <c r="F186" s="161">
        <v>0.1</v>
      </c>
      <c r="G186" s="161" t="s">
        <v>101</v>
      </c>
      <c r="H186" s="163">
        <f t="shared" si="28"/>
        <v>0.1</v>
      </c>
      <c r="I186" s="161">
        <v>0</v>
      </c>
      <c r="J186" s="210">
        <f t="shared" si="27"/>
        <v>0.38</v>
      </c>
      <c r="Q186" s="99"/>
    </row>
    <row r="187" spans="1:18" x14ac:dyDescent="0.35">
      <c r="A187" s="307"/>
      <c r="B187" s="157" t="s">
        <v>106</v>
      </c>
      <c r="C187" s="19"/>
      <c r="D187" s="159" t="s">
        <v>76</v>
      </c>
      <c r="E187" s="160">
        <v>0.7</v>
      </c>
      <c r="F187" s="161">
        <v>0.03</v>
      </c>
      <c r="G187" s="161">
        <v>6.6000000000000003E-2</v>
      </c>
      <c r="H187" s="163">
        <f t="shared" si="28"/>
        <v>0</v>
      </c>
      <c r="I187" s="161">
        <f t="shared" ref="I187:I198" si="29">G187*C187</f>
        <v>0</v>
      </c>
      <c r="J187" s="210">
        <f t="shared" si="27"/>
        <v>0</v>
      </c>
      <c r="L187" s="2"/>
      <c r="M187" s="2"/>
      <c r="Q187" s="99"/>
    </row>
    <row r="188" spans="1:18" x14ac:dyDescent="0.35">
      <c r="A188" s="307"/>
      <c r="B188" s="157" t="s">
        <v>108</v>
      </c>
      <c r="C188" s="19">
        <v>1</v>
      </c>
      <c r="D188" s="159" t="s">
        <v>76</v>
      </c>
      <c r="E188" s="160">
        <v>2.65</v>
      </c>
      <c r="F188" s="161">
        <v>0.3</v>
      </c>
      <c r="G188" s="161">
        <v>0.75</v>
      </c>
      <c r="H188" s="163">
        <f t="shared" si="28"/>
        <v>0.3</v>
      </c>
      <c r="I188" s="161">
        <f t="shared" si="29"/>
        <v>0.75</v>
      </c>
      <c r="J188" s="210">
        <f t="shared" si="27"/>
        <v>0.79499999999999993</v>
      </c>
      <c r="Q188" s="99"/>
    </row>
    <row r="189" spans="1:18" x14ac:dyDescent="0.35">
      <c r="A189" s="307"/>
      <c r="B189" s="157" t="s">
        <v>110</v>
      </c>
      <c r="C189" s="19">
        <v>3</v>
      </c>
      <c r="D189" s="159" t="s">
        <v>76</v>
      </c>
      <c r="E189" s="160">
        <v>2.65</v>
      </c>
      <c r="F189" s="161">
        <v>0.45</v>
      </c>
      <c r="G189" s="161">
        <v>1</v>
      </c>
      <c r="H189" s="163">
        <f t="shared" si="28"/>
        <v>1.35</v>
      </c>
      <c r="I189" s="161">
        <f t="shared" si="29"/>
        <v>3</v>
      </c>
      <c r="J189" s="210">
        <f t="shared" si="27"/>
        <v>3.5775000000000001</v>
      </c>
      <c r="Q189" s="99"/>
    </row>
    <row r="190" spans="1:18" ht="15" thickBot="1" x14ac:dyDescent="0.4">
      <c r="A190" s="307"/>
      <c r="B190" s="157" t="s">
        <v>112</v>
      </c>
      <c r="C190" s="19"/>
      <c r="D190" s="159" t="s">
        <v>76</v>
      </c>
      <c r="E190" s="160">
        <v>1.1299999999999999</v>
      </c>
      <c r="F190" s="161">
        <v>0.6</v>
      </c>
      <c r="G190" s="161">
        <v>1.32</v>
      </c>
      <c r="H190" s="163">
        <f t="shared" si="28"/>
        <v>0</v>
      </c>
      <c r="I190" s="161">
        <f t="shared" si="29"/>
        <v>0</v>
      </c>
      <c r="J190" s="210">
        <f t="shared" si="27"/>
        <v>0</v>
      </c>
      <c r="N190" s="2"/>
      <c r="Q190" s="99"/>
    </row>
    <row r="191" spans="1:18" ht="15.5" thickTop="1" thickBot="1" x14ac:dyDescent="0.4">
      <c r="A191" s="307"/>
      <c r="B191" s="157" t="s">
        <v>114</v>
      </c>
      <c r="C191" s="19">
        <v>2</v>
      </c>
      <c r="D191" s="159" t="s">
        <v>76</v>
      </c>
      <c r="E191" s="160">
        <v>2.65</v>
      </c>
      <c r="F191" s="161">
        <v>0.8</v>
      </c>
      <c r="G191" s="161">
        <v>1.7600000000000002</v>
      </c>
      <c r="H191" s="163">
        <f t="shared" si="28"/>
        <v>1.6</v>
      </c>
      <c r="I191" s="161">
        <f t="shared" si="29"/>
        <v>3.5200000000000005</v>
      </c>
      <c r="J191" s="210">
        <f t="shared" si="27"/>
        <v>4.24</v>
      </c>
      <c r="L191" s="165" t="s">
        <v>103</v>
      </c>
      <c r="M191" s="166">
        <f>C21</f>
        <v>0</v>
      </c>
      <c r="O191" s="302" t="s">
        <v>253</v>
      </c>
      <c r="P191" s="303"/>
      <c r="Q191" s="303"/>
      <c r="R191" s="304"/>
    </row>
    <row r="192" spans="1:18" ht="15" thickBot="1" x14ac:dyDescent="0.4">
      <c r="A192" s="307"/>
      <c r="B192" s="157" t="s">
        <v>116</v>
      </c>
      <c r="C192" s="19"/>
      <c r="D192" s="159" t="s">
        <v>76</v>
      </c>
      <c r="E192" s="160">
        <v>6.8</v>
      </c>
      <c r="F192" s="161">
        <v>0.5</v>
      </c>
      <c r="G192" s="161">
        <v>0.75</v>
      </c>
      <c r="H192" s="163">
        <f t="shared" si="28"/>
        <v>0</v>
      </c>
      <c r="I192" s="161">
        <f t="shared" si="29"/>
        <v>0</v>
      </c>
      <c r="J192" s="210">
        <f t="shared" ref="J192:J198" si="30">C192*E192</f>
        <v>0</v>
      </c>
      <c r="L192" s="167" t="s">
        <v>105</v>
      </c>
      <c r="M192" s="168">
        <f>M191*10%</f>
        <v>0</v>
      </c>
      <c r="O192" s="92">
        <f>(H199+I199)*M191</f>
        <v>0</v>
      </c>
      <c r="P192" s="297" t="s">
        <v>254</v>
      </c>
      <c r="Q192" s="297"/>
      <c r="R192" s="298"/>
    </row>
    <row r="193" spans="1:18" ht="15" thickBot="1" x14ac:dyDescent="0.4">
      <c r="A193" s="307"/>
      <c r="B193" s="157" t="s">
        <v>117</v>
      </c>
      <c r="C193" s="19"/>
      <c r="D193" s="159" t="s">
        <v>76</v>
      </c>
      <c r="E193" s="160">
        <v>13.75</v>
      </c>
      <c r="F193" s="161">
        <v>1</v>
      </c>
      <c r="G193" s="161">
        <v>0.75</v>
      </c>
      <c r="H193" s="163">
        <f t="shared" si="28"/>
        <v>0</v>
      </c>
      <c r="I193" s="161">
        <f t="shared" si="29"/>
        <v>0</v>
      </c>
      <c r="J193" s="210">
        <f t="shared" si="30"/>
        <v>0</v>
      </c>
      <c r="L193" s="171" t="s">
        <v>235</v>
      </c>
      <c r="M193" s="20">
        <v>0</v>
      </c>
      <c r="O193" s="93">
        <v>10</v>
      </c>
      <c r="P193" s="296" t="s">
        <v>255</v>
      </c>
      <c r="Q193" s="297"/>
      <c r="R193" s="298"/>
    </row>
    <row r="194" spans="1:18" ht="15.5" thickTop="1" thickBot="1" x14ac:dyDescent="0.4">
      <c r="A194" s="307"/>
      <c r="B194" s="157" t="s">
        <v>118</v>
      </c>
      <c r="C194" s="19"/>
      <c r="D194" s="159" t="s">
        <v>76</v>
      </c>
      <c r="E194" s="160">
        <v>9.16</v>
      </c>
      <c r="F194" s="161">
        <v>1.5</v>
      </c>
      <c r="G194" s="161">
        <v>0.75</v>
      </c>
      <c r="H194" s="163">
        <f t="shared" si="28"/>
        <v>0</v>
      </c>
      <c r="I194" s="161">
        <f t="shared" si="29"/>
        <v>0</v>
      </c>
      <c r="J194" s="210">
        <f t="shared" si="30"/>
        <v>0</v>
      </c>
      <c r="L194" s="171" t="s">
        <v>252</v>
      </c>
      <c r="M194" s="20">
        <v>0</v>
      </c>
      <c r="O194" s="94">
        <f>O192/O193</f>
        <v>0</v>
      </c>
      <c r="P194" s="299" t="s">
        <v>256</v>
      </c>
      <c r="Q194" s="300"/>
      <c r="R194" s="301"/>
    </row>
    <row r="195" spans="1:18" ht="15" thickBot="1" x14ac:dyDescent="0.4">
      <c r="A195" s="307"/>
      <c r="B195" s="157" t="s">
        <v>119</v>
      </c>
      <c r="C195" s="19"/>
      <c r="D195" s="159" t="s">
        <v>76</v>
      </c>
      <c r="E195" s="160">
        <v>0</v>
      </c>
      <c r="F195" s="161">
        <v>0</v>
      </c>
      <c r="G195" s="161">
        <v>0</v>
      </c>
      <c r="H195" s="163">
        <f t="shared" si="28"/>
        <v>0</v>
      </c>
      <c r="I195" s="161">
        <f t="shared" si="29"/>
        <v>0</v>
      </c>
      <c r="J195" s="210">
        <f t="shared" si="30"/>
        <v>0</v>
      </c>
      <c r="L195" s="171" t="s">
        <v>109</v>
      </c>
      <c r="M195" s="173">
        <v>22</v>
      </c>
    </row>
    <row r="196" spans="1:18" ht="15" thickBot="1" x14ac:dyDescent="0.4">
      <c r="A196" s="307"/>
      <c r="B196" s="211">
        <f>B44</f>
        <v>0</v>
      </c>
      <c r="C196" s="19"/>
      <c r="D196" s="159"/>
      <c r="E196" s="160">
        <v>0</v>
      </c>
      <c r="F196" s="161">
        <v>0</v>
      </c>
      <c r="G196" s="161">
        <v>0</v>
      </c>
      <c r="H196" s="163">
        <f t="shared" si="28"/>
        <v>0</v>
      </c>
      <c r="I196" s="161">
        <f t="shared" si="29"/>
        <v>0</v>
      </c>
      <c r="J196" s="210">
        <f t="shared" si="30"/>
        <v>0</v>
      </c>
      <c r="L196" s="171" t="s">
        <v>111</v>
      </c>
      <c r="M196" s="173">
        <f>(M191+M192)*J202</f>
        <v>0</v>
      </c>
    </row>
    <row r="197" spans="1:18" ht="15" thickBot="1" x14ac:dyDescent="0.4">
      <c r="A197" s="307"/>
      <c r="B197" s="211">
        <f>B45</f>
        <v>0</v>
      </c>
      <c r="C197" s="19"/>
      <c r="D197" s="159"/>
      <c r="E197" s="160">
        <v>0</v>
      </c>
      <c r="F197" s="161">
        <v>0</v>
      </c>
      <c r="G197" s="161">
        <v>0</v>
      </c>
      <c r="H197" s="163">
        <f t="shared" si="28"/>
        <v>0</v>
      </c>
      <c r="I197" s="161">
        <f t="shared" si="29"/>
        <v>0</v>
      </c>
      <c r="J197" s="210">
        <f t="shared" si="30"/>
        <v>0</v>
      </c>
      <c r="L197" s="171" t="s">
        <v>113</v>
      </c>
      <c r="M197" s="173">
        <f>M193*(M194*8)*M195</f>
        <v>0</v>
      </c>
    </row>
    <row r="198" spans="1:18" ht="15" thickBot="1" x14ac:dyDescent="0.4">
      <c r="A198" s="307"/>
      <c r="B198" s="211">
        <f>B46</f>
        <v>0</v>
      </c>
      <c r="C198" s="25"/>
      <c r="D198" s="176"/>
      <c r="E198" s="160">
        <v>0</v>
      </c>
      <c r="F198" s="178">
        <v>0</v>
      </c>
      <c r="G198" s="178">
        <v>0</v>
      </c>
      <c r="H198" s="163">
        <f t="shared" si="28"/>
        <v>0</v>
      </c>
      <c r="I198" s="178">
        <f t="shared" si="29"/>
        <v>0</v>
      </c>
      <c r="J198" s="222">
        <f t="shared" si="30"/>
        <v>0</v>
      </c>
      <c r="L198" s="174" t="s">
        <v>115</v>
      </c>
      <c r="M198" s="173">
        <f>(M197+M196)*1.15</f>
        <v>0</v>
      </c>
    </row>
    <row r="199" spans="1:18" ht="15.75" customHeight="1" thickBot="1" x14ac:dyDescent="0.4">
      <c r="A199" s="307"/>
      <c r="B199" s="189"/>
      <c r="C199" s="190"/>
      <c r="D199" s="191"/>
      <c r="E199" s="192"/>
      <c r="F199" s="191"/>
      <c r="G199" s="191"/>
      <c r="H199" s="213">
        <f>SUM(H184:H198)</f>
        <v>3.35</v>
      </c>
      <c r="I199" s="225">
        <f>SUM(I184:I198)</f>
        <v>7.2700000000000005</v>
      </c>
      <c r="J199" s="195"/>
      <c r="K199" s="196"/>
    </row>
    <row r="200" spans="1:18" x14ac:dyDescent="0.35">
      <c r="A200" s="306"/>
      <c r="B200" s="197" t="s">
        <v>121</v>
      </c>
      <c r="C200" s="18"/>
      <c r="D200" s="248" t="s">
        <v>100</v>
      </c>
      <c r="E200" s="199">
        <v>1.89</v>
      </c>
      <c r="F200" s="311" t="s">
        <v>122</v>
      </c>
      <c r="G200" s="312"/>
      <c r="H200" s="313"/>
      <c r="I200" s="153"/>
      <c r="J200" s="201">
        <f>SUM(J184:J198)</f>
        <v>8.9924999999999997</v>
      </c>
      <c r="K200" s="196" t="s">
        <v>249</v>
      </c>
    </row>
    <row r="201" spans="1:18" ht="26" x14ac:dyDescent="0.35">
      <c r="A201" s="306"/>
      <c r="B201" s="202" t="s">
        <v>123</v>
      </c>
      <c r="C201" s="22">
        <v>1</v>
      </c>
      <c r="D201" s="249" t="s">
        <v>100</v>
      </c>
      <c r="E201" s="160">
        <v>3.05</v>
      </c>
      <c r="F201" s="311"/>
      <c r="G201" s="312"/>
      <c r="H201" s="313"/>
      <c r="I201" s="200"/>
      <c r="J201" s="204">
        <f>(I199*E201*C201)+(I199*E202*C202)+(I199*E200*C200)</f>
        <v>22.173500000000001</v>
      </c>
      <c r="K201" s="196" t="s">
        <v>124</v>
      </c>
    </row>
    <row r="202" spans="1:18" ht="26.5" thickBot="1" x14ac:dyDescent="0.4">
      <c r="A202" s="308"/>
      <c r="B202" s="205" t="s">
        <v>125</v>
      </c>
      <c r="C202" s="23"/>
      <c r="D202" s="250" t="s">
        <v>100</v>
      </c>
      <c r="E202" s="184">
        <v>3.95</v>
      </c>
      <c r="F202" s="314"/>
      <c r="G202" s="315"/>
      <c r="H202" s="316"/>
      <c r="I202" s="185"/>
      <c r="J202" s="207">
        <f>J201+J200</f>
        <v>31.166</v>
      </c>
      <c r="K202" s="196" t="s">
        <v>126</v>
      </c>
    </row>
    <row r="203" spans="1:18" ht="15" thickBot="1" x14ac:dyDescent="0.4"/>
    <row r="204" spans="1:18" x14ac:dyDescent="0.35">
      <c r="A204" s="305" t="s">
        <v>141</v>
      </c>
      <c r="B204" s="309" t="s">
        <v>142</v>
      </c>
      <c r="C204" s="309"/>
      <c r="D204" s="309"/>
      <c r="E204" s="309"/>
      <c r="F204" s="309"/>
      <c r="G204" s="309"/>
      <c r="H204" s="309"/>
      <c r="I204" s="309"/>
      <c r="J204" s="310"/>
    </row>
    <row r="205" spans="1:18" ht="27" thickBot="1" x14ac:dyDescent="0.4">
      <c r="A205" s="306"/>
      <c r="B205" s="143" t="s">
        <v>90</v>
      </c>
      <c r="C205" s="144" t="s">
        <v>91</v>
      </c>
      <c r="D205" s="145" t="s">
        <v>92</v>
      </c>
      <c r="E205" s="146" t="s">
        <v>93</v>
      </c>
      <c r="F205" s="147" t="s">
        <v>94</v>
      </c>
      <c r="G205" s="148" t="s">
        <v>95</v>
      </c>
      <c r="H205" s="148" t="s">
        <v>96</v>
      </c>
      <c r="I205" s="148" t="s">
        <v>97</v>
      </c>
      <c r="J205" s="148" t="s">
        <v>98</v>
      </c>
    </row>
    <row r="206" spans="1:18" x14ac:dyDescent="0.35">
      <c r="A206" s="307"/>
      <c r="B206" s="149" t="s">
        <v>99</v>
      </c>
      <c r="C206" s="17"/>
      <c r="D206" s="151" t="s">
        <v>100</v>
      </c>
      <c r="E206" s="152">
        <v>2.97</v>
      </c>
      <c r="F206" s="153">
        <v>0.75</v>
      </c>
      <c r="G206" s="153" t="s">
        <v>101</v>
      </c>
      <c r="H206" s="155">
        <f>F206*C206</f>
        <v>0</v>
      </c>
      <c r="I206" s="153">
        <v>0</v>
      </c>
      <c r="J206" s="209">
        <f t="shared" ref="J206:J213" si="31">H206*E206</f>
        <v>0</v>
      </c>
    </row>
    <row r="207" spans="1:18" x14ac:dyDescent="0.35">
      <c r="A207" s="307"/>
      <c r="B207" s="157" t="s">
        <v>102</v>
      </c>
      <c r="C207" s="19"/>
      <c r="D207" s="159" t="s">
        <v>100</v>
      </c>
      <c r="E207" s="160">
        <v>3.51</v>
      </c>
      <c r="F207" s="161">
        <v>0.75</v>
      </c>
      <c r="G207" s="161" t="s">
        <v>101</v>
      </c>
      <c r="H207" s="163">
        <f t="shared" ref="H207:H220" si="32">F207*C207</f>
        <v>0</v>
      </c>
      <c r="I207" s="161">
        <v>0</v>
      </c>
      <c r="J207" s="210">
        <f t="shared" si="31"/>
        <v>0</v>
      </c>
      <c r="Q207" s="99"/>
    </row>
    <row r="208" spans="1:18" ht="15.75" customHeight="1" x14ac:dyDescent="0.35">
      <c r="A208" s="307"/>
      <c r="B208" s="157" t="s">
        <v>104</v>
      </c>
      <c r="C208" s="19">
        <v>1</v>
      </c>
      <c r="D208" s="159" t="s">
        <v>100</v>
      </c>
      <c r="E208" s="160">
        <v>3.8</v>
      </c>
      <c r="F208" s="161">
        <v>0.1</v>
      </c>
      <c r="G208" s="161" t="s">
        <v>101</v>
      </c>
      <c r="H208" s="163">
        <f t="shared" si="32"/>
        <v>0.1</v>
      </c>
      <c r="I208" s="161">
        <v>0</v>
      </c>
      <c r="J208" s="210">
        <f t="shared" si="31"/>
        <v>0.38</v>
      </c>
      <c r="Q208" s="99"/>
    </row>
    <row r="209" spans="1:18" x14ac:dyDescent="0.35">
      <c r="A209" s="307"/>
      <c r="B209" s="157" t="s">
        <v>106</v>
      </c>
      <c r="C209" s="19"/>
      <c r="D209" s="159" t="s">
        <v>76</v>
      </c>
      <c r="E209" s="160">
        <v>0.7</v>
      </c>
      <c r="F209" s="161">
        <v>0.03</v>
      </c>
      <c r="G209" s="161">
        <v>6.6000000000000003E-2</v>
      </c>
      <c r="H209" s="163">
        <f t="shared" si="32"/>
        <v>0</v>
      </c>
      <c r="I209" s="161">
        <f t="shared" ref="I209:I220" si="33">G209*C209</f>
        <v>0</v>
      </c>
      <c r="J209" s="210">
        <f t="shared" si="31"/>
        <v>0</v>
      </c>
      <c r="Q209" s="99"/>
    </row>
    <row r="210" spans="1:18" x14ac:dyDescent="0.35">
      <c r="A210" s="307"/>
      <c r="B210" s="157" t="s">
        <v>108</v>
      </c>
      <c r="C210" s="19"/>
      <c r="D210" s="159" t="s">
        <v>76</v>
      </c>
      <c r="E210" s="160">
        <v>2.65</v>
      </c>
      <c r="F210" s="161">
        <v>0.3</v>
      </c>
      <c r="G210" s="161">
        <v>0.75</v>
      </c>
      <c r="H210" s="163">
        <f t="shared" si="32"/>
        <v>0</v>
      </c>
      <c r="I210" s="161">
        <f t="shared" si="33"/>
        <v>0</v>
      </c>
      <c r="J210" s="210">
        <f t="shared" si="31"/>
        <v>0</v>
      </c>
      <c r="Q210" s="99"/>
    </row>
    <row r="211" spans="1:18" x14ac:dyDescent="0.35">
      <c r="A211" s="307"/>
      <c r="B211" s="157" t="s">
        <v>110</v>
      </c>
      <c r="C211" s="19">
        <v>3</v>
      </c>
      <c r="D211" s="159" t="s">
        <v>76</v>
      </c>
      <c r="E211" s="160">
        <v>2.65</v>
      </c>
      <c r="F211" s="161">
        <v>0.45</v>
      </c>
      <c r="G211" s="161">
        <v>1</v>
      </c>
      <c r="H211" s="163">
        <f t="shared" si="32"/>
        <v>1.35</v>
      </c>
      <c r="I211" s="161">
        <f t="shared" si="33"/>
        <v>3</v>
      </c>
      <c r="J211" s="210">
        <f t="shared" si="31"/>
        <v>3.5775000000000001</v>
      </c>
      <c r="Q211" s="99"/>
    </row>
    <row r="212" spans="1:18" x14ac:dyDescent="0.35">
      <c r="A212" s="307"/>
      <c r="B212" s="157" t="s">
        <v>112</v>
      </c>
      <c r="C212" s="19"/>
      <c r="D212" s="159" t="s">
        <v>76</v>
      </c>
      <c r="E212" s="160">
        <v>1.1299999999999999</v>
      </c>
      <c r="F212" s="161">
        <v>0.6</v>
      </c>
      <c r="G212" s="161">
        <v>1.32</v>
      </c>
      <c r="H212" s="163">
        <f t="shared" si="32"/>
        <v>0</v>
      </c>
      <c r="I212" s="161">
        <f t="shared" si="33"/>
        <v>0</v>
      </c>
      <c r="J212" s="210">
        <f t="shared" si="31"/>
        <v>0</v>
      </c>
      <c r="N212" s="2"/>
      <c r="Q212" s="99"/>
    </row>
    <row r="213" spans="1:18" ht="15" thickBot="1" x14ac:dyDescent="0.4">
      <c r="A213" s="307"/>
      <c r="B213" s="157" t="s">
        <v>114</v>
      </c>
      <c r="C213" s="19">
        <v>2</v>
      </c>
      <c r="D213" s="159" t="s">
        <v>76</v>
      </c>
      <c r="E213" s="160">
        <v>2.65</v>
      </c>
      <c r="F213" s="161">
        <v>0.8</v>
      </c>
      <c r="G213" s="161">
        <v>1.7600000000000002</v>
      </c>
      <c r="H213" s="163">
        <f t="shared" si="32"/>
        <v>1.6</v>
      </c>
      <c r="I213" s="161">
        <f t="shared" si="33"/>
        <v>3.5200000000000005</v>
      </c>
      <c r="J213" s="210">
        <f t="shared" si="31"/>
        <v>4.24</v>
      </c>
      <c r="Q213" s="99"/>
    </row>
    <row r="214" spans="1:18" ht="15.5" thickTop="1" thickBot="1" x14ac:dyDescent="0.4">
      <c r="A214" s="307"/>
      <c r="B214" s="157" t="s">
        <v>116</v>
      </c>
      <c r="C214" s="19"/>
      <c r="D214" s="159" t="s">
        <v>76</v>
      </c>
      <c r="E214" s="160">
        <v>6.8</v>
      </c>
      <c r="F214" s="161">
        <v>0.5</v>
      </c>
      <c r="G214" s="161">
        <v>0.75</v>
      </c>
      <c r="H214" s="163">
        <f t="shared" si="32"/>
        <v>0</v>
      </c>
      <c r="I214" s="161">
        <f t="shared" si="33"/>
        <v>0</v>
      </c>
      <c r="J214" s="210">
        <f t="shared" ref="J214:J220" si="34">C214*E214</f>
        <v>0</v>
      </c>
      <c r="L214" s="165" t="s">
        <v>103</v>
      </c>
      <c r="M214" s="166">
        <f>C23</f>
        <v>0</v>
      </c>
      <c r="O214" s="302" t="s">
        <v>253</v>
      </c>
      <c r="P214" s="303"/>
      <c r="Q214" s="303"/>
      <c r="R214" s="304"/>
    </row>
    <row r="215" spans="1:18" ht="15" thickBot="1" x14ac:dyDescent="0.4">
      <c r="A215" s="307"/>
      <c r="B215" s="157" t="s">
        <v>117</v>
      </c>
      <c r="C215" s="19"/>
      <c r="D215" s="159" t="s">
        <v>76</v>
      </c>
      <c r="E215" s="160">
        <v>13.75</v>
      </c>
      <c r="F215" s="161">
        <v>1</v>
      </c>
      <c r="G215" s="161">
        <v>0.75</v>
      </c>
      <c r="H215" s="163">
        <f t="shared" si="32"/>
        <v>0</v>
      </c>
      <c r="I215" s="161">
        <f t="shared" si="33"/>
        <v>0</v>
      </c>
      <c r="J215" s="210">
        <f t="shared" si="34"/>
        <v>0</v>
      </c>
      <c r="L215" s="167" t="s">
        <v>105</v>
      </c>
      <c r="M215" s="168">
        <f>M214*10%</f>
        <v>0</v>
      </c>
      <c r="O215" s="92">
        <f>(H221+I221)*M214</f>
        <v>0</v>
      </c>
      <c r="P215" s="297" t="s">
        <v>254</v>
      </c>
      <c r="Q215" s="297"/>
      <c r="R215" s="298"/>
    </row>
    <row r="216" spans="1:18" ht="15" thickBot="1" x14ac:dyDescent="0.4">
      <c r="A216" s="307"/>
      <c r="B216" s="157" t="s">
        <v>118</v>
      </c>
      <c r="C216" s="19"/>
      <c r="D216" s="159" t="s">
        <v>76</v>
      </c>
      <c r="E216" s="160">
        <v>9.16</v>
      </c>
      <c r="F216" s="161">
        <v>1.5</v>
      </c>
      <c r="G216" s="161">
        <v>0.75</v>
      </c>
      <c r="H216" s="163">
        <f t="shared" si="32"/>
        <v>0</v>
      </c>
      <c r="I216" s="161">
        <f t="shared" si="33"/>
        <v>0</v>
      </c>
      <c r="J216" s="210">
        <f t="shared" si="34"/>
        <v>0</v>
      </c>
      <c r="L216" s="171" t="s">
        <v>235</v>
      </c>
      <c r="M216" s="20">
        <v>0</v>
      </c>
      <c r="O216" s="93">
        <v>50</v>
      </c>
      <c r="P216" s="296" t="s">
        <v>255</v>
      </c>
      <c r="Q216" s="297"/>
      <c r="R216" s="298"/>
    </row>
    <row r="217" spans="1:18" ht="15.5" thickTop="1" thickBot="1" x14ac:dyDescent="0.4">
      <c r="A217" s="307"/>
      <c r="B217" s="157" t="s">
        <v>119</v>
      </c>
      <c r="C217" s="19"/>
      <c r="D217" s="159" t="s">
        <v>76</v>
      </c>
      <c r="E217" s="160">
        <v>0</v>
      </c>
      <c r="F217" s="161">
        <v>0</v>
      </c>
      <c r="G217" s="161">
        <v>0</v>
      </c>
      <c r="H217" s="163">
        <f t="shared" si="32"/>
        <v>0</v>
      </c>
      <c r="I217" s="161">
        <f t="shared" si="33"/>
        <v>0</v>
      </c>
      <c r="J217" s="210">
        <f t="shared" si="34"/>
        <v>0</v>
      </c>
      <c r="L217" s="171" t="s">
        <v>252</v>
      </c>
      <c r="M217" s="20">
        <v>0</v>
      </c>
      <c r="O217" s="94">
        <f>O215/O216</f>
        <v>0</v>
      </c>
      <c r="P217" s="299" t="s">
        <v>256</v>
      </c>
      <c r="Q217" s="300"/>
      <c r="R217" s="301"/>
    </row>
    <row r="218" spans="1:18" ht="15" thickBot="1" x14ac:dyDescent="0.4">
      <c r="A218" s="307"/>
      <c r="B218" s="211">
        <f>B44</f>
        <v>0</v>
      </c>
      <c r="C218" s="19"/>
      <c r="D218" s="159"/>
      <c r="E218" s="160">
        <v>0</v>
      </c>
      <c r="F218" s="161">
        <v>0</v>
      </c>
      <c r="G218" s="161">
        <v>0</v>
      </c>
      <c r="H218" s="163">
        <f t="shared" si="32"/>
        <v>0</v>
      </c>
      <c r="I218" s="161">
        <f t="shared" si="33"/>
        <v>0</v>
      </c>
      <c r="J218" s="210">
        <f t="shared" si="34"/>
        <v>0</v>
      </c>
      <c r="L218" s="171" t="s">
        <v>109</v>
      </c>
      <c r="M218" s="173">
        <v>22</v>
      </c>
    </row>
    <row r="219" spans="1:18" ht="15" thickBot="1" x14ac:dyDescent="0.4">
      <c r="A219" s="307"/>
      <c r="B219" s="211">
        <f>B45</f>
        <v>0</v>
      </c>
      <c r="C219" s="19"/>
      <c r="D219" s="159"/>
      <c r="E219" s="160">
        <v>0</v>
      </c>
      <c r="F219" s="161">
        <v>0</v>
      </c>
      <c r="G219" s="161">
        <v>0</v>
      </c>
      <c r="H219" s="163">
        <f t="shared" si="32"/>
        <v>0</v>
      </c>
      <c r="I219" s="161">
        <f t="shared" si="33"/>
        <v>0</v>
      </c>
      <c r="J219" s="210">
        <f t="shared" si="34"/>
        <v>0</v>
      </c>
      <c r="L219" s="171" t="s">
        <v>111</v>
      </c>
      <c r="M219" s="173">
        <f>(M214+M215)*J224</f>
        <v>0</v>
      </c>
    </row>
    <row r="220" spans="1:18" ht="15" thickBot="1" x14ac:dyDescent="0.4">
      <c r="A220" s="307"/>
      <c r="B220" s="211">
        <f>B46</f>
        <v>0</v>
      </c>
      <c r="C220" s="25"/>
      <c r="D220" s="183"/>
      <c r="E220" s="160">
        <v>0</v>
      </c>
      <c r="F220" s="185">
        <v>0</v>
      </c>
      <c r="G220" s="185">
        <v>0</v>
      </c>
      <c r="H220" s="163">
        <f t="shared" si="32"/>
        <v>0</v>
      </c>
      <c r="I220" s="178">
        <f t="shared" si="33"/>
        <v>0</v>
      </c>
      <c r="J220" s="222">
        <f t="shared" si="34"/>
        <v>0</v>
      </c>
      <c r="L220" s="171" t="s">
        <v>113</v>
      </c>
      <c r="M220" s="173">
        <f>M216*(M217*8)*M218</f>
        <v>0</v>
      </c>
    </row>
    <row r="221" spans="1:18" ht="15.75" customHeight="1" thickBot="1" x14ac:dyDescent="0.4">
      <c r="A221" s="307"/>
      <c r="B221" s="189"/>
      <c r="C221" s="190"/>
      <c r="D221" s="191"/>
      <c r="E221" s="192"/>
      <c r="F221" s="191"/>
      <c r="G221" s="191"/>
      <c r="H221" s="213">
        <f>SUM(H206:H220)</f>
        <v>3.0500000000000003</v>
      </c>
      <c r="I221" s="225">
        <f>SUM(I206:I220)</f>
        <v>6.5200000000000005</v>
      </c>
      <c r="J221" s="195"/>
      <c r="K221" s="196"/>
      <c r="L221" s="174" t="s">
        <v>115</v>
      </c>
      <c r="M221" s="173">
        <f>(M220+M219)*1.15</f>
        <v>0</v>
      </c>
    </row>
    <row r="222" spans="1:18" x14ac:dyDescent="0.35">
      <c r="A222" s="306"/>
      <c r="B222" s="197" t="s">
        <v>121</v>
      </c>
      <c r="C222" s="18"/>
      <c r="D222" s="248" t="s">
        <v>100</v>
      </c>
      <c r="E222" s="199">
        <f>E48</f>
        <v>1.89</v>
      </c>
      <c r="F222" s="311" t="s">
        <v>122</v>
      </c>
      <c r="G222" s="312"/>
      <c r="H222" s="313"/>
      <c r="I222" s="153"/>
      <c r="J222" s="201">
        <f>SUM(J206:J220)</f>
        <v>8.1974999999999998</v>
      </c>
      <c r="K222" s="196" t="s">
        <v>249</v>
      </c>
    </row>
    <row r="223" spans="1:18" ht="26" x14ac:dyDescent="0.35">
      <c r="A223" s="306"/>
      <c r="B223" s="202" t="s">
        <v>123</v>
      </c>
      <c r="C223" s="22">
        <v>1</v>
      </c>
      <c r="D223" s="249" t="s">
        <v>100</v>
      </c>
      <c r="E223" s="160">
        <f>E49</f>
        <v>3.05</v>
      </c>
      <c r="F223" s="311"/>
      <c r="G223" s="312"/>
      <c r="H223" s="313"/>
      <c r="I223" s="200"/>
      <c r="J223" s="204">
        <f>(I221*E223*C223)+(I221*E224*C224)+(I221*E222*C222)</f>
        <v>19.885999999999999</v>
      </c>
      <c r="K223" s="196" t="s">
        <v>124</v>
      </c>
    </row>
    <row r="224" spans="1:18" ht="26.5" thickBot="1" x14ac:dyDescent="0.4">
      <c r="A224" s="308"/>
      <c r="B224" s="205" t="s">
        <v>125</v>
      </c>
      <c r="C224" s="23"/>
      <c r="D224" s="250" t="s">
        <v>100</v>
      </c>
      <c r="E224" s="184">
        <f>E50</f>
        <v>3.95</v>
      </c>
      <c r="F224" s="314"/>
      <c r="G224" s="315"/>
      <c r="H224" s="316"/>
      <c r="I224" s="185"/>
      <c r="J224" s="207">
        <f>J223+J222</f>
        <v>28.083500000000001</v>
      </c>
      <c r="K224" s="196" t="s">
        <v>126</v>
      </c>
    </row>
    <row r="225" spans="1:18" s="2" customFormat="1" ht="15" thickBot="1" x14ac:dyDescent="0.4">
      <c r="L225" s="129"/>
      <c r="M225" s="129"/>
    </row>
    <row r="226" spans="1:18" x14ac:dyDescent="0.35">
      <c r="A226" s="324" t="s">
        <v>143</v>
      </c>
      <c r="B226" s="309" t="s">
        <v>144</v>
      </c>
      <c r="C226" s="309"/>
      <c r="D226" s="309"/>
      <c r="E226" s="309"/>
      <c r="F226" s="309"/>
      <c r="G226" s="309"/>
      <c r="H226" s="309"/>
      <c r="I226" s="309"/>
      <c r="J226" s="310"/>
    </row>
    <row r="227" spans="1:18" ht="27" thickBot="1" x14ac:dyDescent="0.4">
      <c r="A227" s="325"/>
      <c r="B227" s="143" t="s">
        <v>90</v>
      </c>
      <c r="C227" s="144" t="s">
        <v>91</v>
      </c>
      <c r="D227" s="145" t="s">
        <v>92</v>
      </c>
      <c r="E227" s="146" t="s">
        <v>93</v>
      </c>
      <c r="F227" s="147" t="s">
        <v>94</v>
      </c>
      <c r="G227" s="148" t="s">
        <v>95</v>
      </c>
      <c r="H227" s="148" t="s">
        <v>96</v>
      </c>
      <c r="I227" s="148" t="s">
        <v>97</v>
      </c>
      <c r="J227" s="148" t="s">
        <v>98</v>
      </c>
    </row>
    <row r="228" spans="1:18" x14ac:dyDescent="0.35">
      <c r="A228" s="326"/>
      <c r="B228" s="149" t="s">
        <v>99</v>
      </c>
      <c r="C228" s="17"/>
      <c r="D228" s="151" t="s">
        <v>100</v>
      </c>
      <c r="E228" s="152">
        <v>2.97</v>
      </c>
      <c r="F228" s="153">
        <v>0.75</v>
      </c>
      <c r="G228" s="153" t="s">
        <v>101</v>
      </c>
      <c r="H228" s="155">
        <f>F228*C228</f>
        <v>0</v>
      </c>
      <c r="I228" s="153">
        <v>0</v>
      </c>
      <c r="J228" s="209">
        <f t="shared" ref="J228:J235" si="35">H228*E228</f>
        <v>0</v>
      </c>
    </row>
    <row r="229" spans="1:18" x14ac:dyDescent="0.35">
      <c r="A229" s="326"/>
      <c r="B229" s="157" t="s">
        <v>102</v>
      </c>
      <c r="C229" s="19"/>
      <c r="D229" s="159" t="s">
        <v>100</v>
      </c>
      <c r="E229" s="160">
        <v>3.51</v>
      </c>
      <c r="F229" s="161">
        <v>0.75</v>
      </c>
      <c r="G229" s="161" t="s">
        <v>101</v>
      </c>
      <c r="H229" s="163">
        <f t="shared" ref="H229:H242" si="36">F229*C229</f>
        <v>0</v>
      </c>
      <c r="I229" s="161">
        <v>0</v>
      </c>
      <c r="J229" s="210">
        <f t="shared" si="35"/>
        <v>0</v>
      </c>
      <c r="Q229" s="99"/>
    </row>
    <row r="230" spans="1:18" ht="15.75" customHeight="1" x14ac:dyDescent="0.35">
      <c r="A230" s="326"/>
      <c r="B230" s="157" t="s">
        <v>104</v>
      </c>
      <c r="C230" s="19">
        <v>1</v>
      </c>
      <c r="D230" s="159" t="s">
        <v>100</v>
      </c>
      <c r="E230" s="160">
        <v>3.8</v>
      </c>
      <c r="F230" s="161">
        <v>0.1</v>
      </c>
      <c r="G230" s="161" t="s">
        <v>101</v>
      </c>
      <c r="H230" s="163">
        <f t="shared" si="36"/>
        <v>0.1</v>
      </c>
      <c r="I230" s="161">
        <v>0</v>
      </c>
      <c r="J230" s="210">
        <f t="shared" si="35"/>
        <v>0.38</v>
      </c>
      <c r="Q230" s="99"/>
    </row>
    <row r="231" spans="1:18" x14ac:dyDescent="0.35">
      <c r="A231" s="326"/>
      <c r="B231" s="157" t="s">
        <v>106</v>
      </c>
      <c r="C231" s="19"/>
      <c r="D231" s="159" t="s">
        <v>76</v>
      </c>
      <c r="E231" s="160">
        <v>0.7</v>
      </c>
      <c r="F231" s="161">
        <v>0.03</v>
      </c>
      <c r="G231" s="161">
        <v>6.6000000000000003E-2</v>
      </c>
      <c r="H231" s="163">
        <f t="shared" si="36"/>
        <v>0</v>
      </c>
      <c r="I231" s="161">
        <f t="shared" ref="I231:I242" si="37">G231*C231</f>
        <v>0</v>
      </c>
      <c r="J231" s="210">
        <f t="shared" si="35"/>
        <v>0</v>
      </c>
      <c r="Q231" s="99"/>
    </row>
    <row r="232" spans="1:18" x14ac:dyDescent="0.35">
      <c r="A232" s="326"/>
      <c r="B232" s="157" t="s">
        <v>108</v>
      </c>
      <c r="C232" s="19"/>
      <c r="D232" s="159" t="s">
        <v>76</v>
      </c>
      <c r="E232" s="160">
        <v>2.65</v>
      </c>
      <c r="F232" s="161">
        <v>0.3</v>
      </c>
      <c r="G232" s="161">
        <v>0.75</v>
      </c>
      <c r="H232" s="163">
        <f t="shared" si="36"/>
        <v>0</v>
      </c>
      <c r="I232" s="161">
        <f t="shared" si="37"/>
        <v>0</v>
      </c>
      <c r="J232" s="210">
        <f t="shared" si="35"/>
        <v>0</v>
      </c>
      <c r="Q232" s="99"/>
    </row>
    <row r="233" spans="1:18" x14ac:dyDescent="0.35">
      <c r="A233" s="326"/>
      <c r="B233" s="157" t="s">
        <v>110</v>
      </c>
      <c r="C233" s="19">
        <v>2</v>
      </c>
      <c r="D233" s="159" t="s">
        <v>76</v>
      </c>
      <c r="E233" s="160">
        <v>2.65</v>
      </c>
      <c r="F233" s="161">
        <v>0.45</v>
      </c>
      <c r="G233" s="161">
        <v>1</v>
      </c>
      <c r="H233" s="163">
        <f t="shared" si="36"/>
        <v>0.9</v>
      </c>
      <c r="I233" s="161">
        <f t="shared" si="37"/>
        <v>2</v>
      </c>
      <c r="J233" s="210">
        <f t="shared" si="35"/>
        <v>2.3849999999999998</v>
      </c>
      <c r="L233" s="2"/>
      <c r="M233" s="2"/>
      <c r="Q233" s="99"/>
    </row>
    <row r="234" spans="1:18" x14ac:dyDescent="0.35">
      <c r="A234" s="326"/>
      <c r="B234" s="157" t="s">
        <v>112</v>
      </c>
      <c r="C234" s="19"/>
      <c r="D234" s="159" t="s">
        <v>76</v>
      </c>
      <c r="E234" s="160">
        <v>1.1299999999999999</v>
      </c>
      <c r="F234" s="161">
        <v>0.6</v>
      </c>
      <c r="G234" s="161">
        <v>1.32</v>
      </c>
      <c r="H234" s="163">
        <f t="shared" si="36"/>
        <v>0</v>
      </c>
      <c r="I234" s="161">
        <f t="shared" si="37"/>
        <v>0</v>
      </c>
      <c r="J234" s="210">
        <f t="shared" si="35"/>
        <v>0</v>
      </c>
      <c r="N234" s="2"/>
      <c r="Q234" s="99"/>
    </row>
    <row r="235" spans="1:18" x14ac:dyDescent="0.35">
      <c r="A235" s="326"/>
      <c r="B235" s="157" t="s">
        <v>114</v>
      </c>
      <c r="C235" s="19">
        <v>1</v>
      </c>
      <c r="D235" s="159" t="s">
        <v>76</v>
      </c>
      <c r="E235" s="160">
        <v>2.65</v>
      </c>
      <c r="F235" s="161">
        <v>0.8</v>
      </c>
      <c r="G235" s="161">
        <v>1.7600000000000002</v>
      </c>
      <c r="H235" s="163">
        <f t="shared" si="36"/>
        <v>0.8</v>
      </c>
      <c r="I235" s="161">
        <f t="shared" si="37"/>
        <v>1.7600000000000002</v>
      </c>
      <c r="J235" s="210">
        <f t="shared" si="35"/>
        <v>2.12</v>
      </c>
      <c r="Q235" s="99"/>
    </row>
    <row r="236" spans="1:18" ht="15" thickBot="1" x14ac:dyDescent="0.4">
      <c r="A236" s="326"/>
      <c r="B236" s="157" t="s">
        <v>116</v>
      </c>
      <c r="C236" s="19"/>
      <c r="D236" s="159" t="s">
        <v>76</v>
      </c>
      <c r="E236" s="160">
        <v>6.8</v>
      </c>
      <c r="F236" s="161">
        <v>0.5</v>
      </c>
      <c r="G236" s="161">
        <v>0.75</v>
      </c>
      <c r="H236" s="163">
        <f t="shared" si="36"/>
        <v>0</v>
      </c>
      <c r="I236" s="161">
        <f t="shared" si="37"/>
        <v>0</v>
      </c>
      <c r="J236" s="210">
        <f t="shared" ref="J236:J242" si="38">C236*E236</f>
        <v>0</v>
      </c>
    </row>
    <row r="237" spans="1:18" ht="15.5" thickTop="1" thickBot="1" x14ac:dyDescent="0.4">
      <c r="A237" s="326"/>
      <c r="B237" s="157" t="s">
        <v>117</v>
      </c>
      <c r="C237" s="19"/>
      <c r="D237" s="159" t="s">
        <v>76</v>
      </c>
      <c r="E237" s="160">
        <v>13.75</v>
      </c>
      <c r="F237" s="161">
        <v>1</v>
      </c>
      <c r="G237" s="161">
        <v>0.75</v>
      </c>
      <c r="H237" s="163">
        <f t="shared" si="36"/>
        <v>0</v>
      </c>
      <c r="I237" s="161">
        <f t="shared" si="37"/>
        <v>0</v>
      </c>
      <c r="J237" s="210">
        <f t="shared" si="38"/>
        <v>0</v>
      </c>
      <c r="L237" s="165" t="s">
        <v>103</v>
      </c>
      <c r="M237" s="166">
        <f>C25</f>
        <v>0</v>
      </c>
      <c r="O237" s="302" t="s">
        <v>253</v>
      </c>
      <c r="P237" s="303"/>
      <c r="Q237" s="303"/>
      <c r="R237" s="304"/>
    </row>
    <row r="238" spans="1:18" ht="15" thickBot="1" x14ac:dyDescent="0.4">
      <c r="A238" s="326"/>
      <c r="B238" s="157" t="s">
        <v>118</v>
      </c>
      <c r="C238" s="19"/>
      <c r="D238" s="159" t="s">
        <v>76</v>
      </c>
      <c r="E238" s="160">
        <v>9.16</v>
      </c>
      <c r="F238" s="161">
        <v>1.5</v>
      </c>
      <c r="G238" s="161">
        <v>0.75</v>
      </c>
      <c r="H238" s="163">
        <f t="shared" si="36"/>
        <v>0</v>
      </c>
      <c r="I238" s="161">
        <f t="shared" si="37"/>
        <v>0</v>
      </c>
      <c r="J238" s="210">
        <f t="shared" si="38"/>
        <v>0</v>
      </c>
      <c r="L238" s="167" t="s">
        <v>105</v>
      </c>
      <c r="M238" s="168">
        <f>M237*10%</f>
        <v>0</v>
      </c>
      <c r="O238" s="92">
        <f>(H243+I243)*M237</f>
        <v>0</v>
      </c>
      <c r="P238" s="297" t="s">
        <v>254</v>
      </c>
      <c r="Q238" s="297"/>
      <c r="R238" s="298"/>
    </row>
    <row r="239" spans="1:18" ht="15" thickBot="1" x14ac:dyDescent="0.4">
      <c r="A239" s="326"/>
      <c r="B239" s="157" t="s">
        <v>119</v>
      </c>
      <c r="C239" s="19"/>
      <c r="D239" s="159" t="s">
        <v>76</v>
      </c>
      <c r="E239" s="160">
        <v>0</v>
      </c>
      <c r="F239" s="161">
        <v>0</v>
      </c>
      <c r="G239" s="161">
        <v>0</v>
      </c>
      <c r="H239" s="163">
        <f t="shared" si="36"/>
        <v>0</v>
      </c>
      <c r="I239" s="161">
        <f t="shared" si="37"/>
        <v>0</v>
      </c>
      <c r="J239" s="210">
        <f t="shared" si="38"/>
        <v>0</v>
      </c>
      <c r="L239" s="171" t="s">
        <v>235</v>
      </c>
      <c r="M239" s="20">
        <v>0</v>
      </c>
      <c r="O239" s="93">
        <v>50</v>
      </c>
      <c r="P239" s="296" t="s">
        <v>255</v>
      </c>
      <c r="Q239" s="297"/>
      <c r="R239" s="298"/>
    </row>
    <row r="240" spans="1:18" ht="15.5" thickTop="1" thickBot="1" x14ac:dyDescent="0.4">
      <c r="A240" s="326"/>
      <c r="B240" s="211">
        <f>B44</f>
        <v>0</v>
      </c>
      <c r="C240" s="19"/>
      <c r="D240" s="159"/>
      <c r="E240" s="160">
        <v>0</v>
      </c>
      <c r="F240" s="161">
        <v>0</v>
      </c>
      <c r="G240" s="161">
        <v>0</v>
      </c>
      <c r="H240" s="163">
        <f t="shared" si="36"/>
        <v>0</v>
      </c>
      <c r="I240" s="161">
        <f t="shared" si="37"/>
        <v>0</v>
      </c>
      <c r="J240" s="210">
        <f t="shared" si="38"/>
        <v>0</v>
      </c>
      <c r="L240" s="171" t="s">
        <v>252</v>
      </c>
      <c r="M240" s="20">
        <v>0</v>
      </c>
      <c r="O240" s="94">
        <f>O238/O239</f>
        <v>0</v>
      </c>
      <c r="P240" s="299" t="s">
        <v>256</v>
      </c>
      <c r="Q240" s="300"/>
      <c r="R240" s="301"/>
    </row>
    <row r="241" spans="1:17" ht="15" thickBot="1" x14ac:dyDescent="0.4">
      <c r="A241" s="326"/>
      <c r="B241" s="211">
        <f>B45</f>
        <v>0</v>
      </c>
      <c r="C241" s="19"/>
      <c r="D241" s="159"/>
      <c r="E241" s="160">
        <v>0</v>
      </c>
      <c r="F241" s="161">
        <v>0</v>
      </c>
      <c r="G241" s="161">
        <v>0</v>
      </c>
      <c r="H241" s="163">
        <f t="shared" si="36"/>
        <v>0</v>
      </c>
      <c r="I241" s="161">
        <f t="shared" si="37"/>
        <v>0</v>
      </c>
      <c r="J241" s="210">
        <f t="shared" si="38"/>
        <v>0</v>
      </c>
      <c r="L241" s="171" t="s">
        <v>109</v>
      </c>
      <c r="M241" s="173">
        <v>22</v>
      </c>
    </row>
    <row r="242" spans="1:17" ht="15" thickBot="1" x14ac:dyDescent="0.4">
      <c r="A242" s="326"/>
      <c r="B242" s="211">
        <f>B46</f>
        <v>0</v>
      </c>
      <c r="C242" s="21"/>
      <c r="D242" s="176"/>
      <c r="E242" s="177">
        <v>0</v>
      </c>
      <c r="F242" s="178">
        <v>0</v>
      </c>
      <c r="G242" s="178">
        <v>0</v>
      </c>
      <c r="H242" s="251">
        <f t="shared" si="36"/>
        <v>0</v>
      </c>
      <c r="I242" s="178">
        <f t="shared" si="37"/>
        <v>0</v>
      </c>
      <c r="J242" s="222">
        <f t="shared" si="38"/>
        <v>0</v>
      </c>
      <c r="L242" s="171" t="s">
        <v>111</v>
      </c>
      <c r="M242" s="173">
        <f>(M237+M238)*J246</f>
        <v>0</v>
      </c>
    </row>
    <row r="243" spans="1:17" ht="15.75" customHeight="1" thickBot="1" x14ac:dyDescent="0.4">
      <c r="A243" s="326"/>
      <c r="B243" s="189"/>
      <c r="C243" s="190"/>
      <c r="D243" s="191"/>
      <c r="E243" s="192"/>
      <c r="F243" s="191"/>
      <c r="G243" s="191"/>
      <c r="H243" s="213">
        <f>SUM(H228:H242)</f>
        <v>1.8</v>
      </c>
      <c r="I243" s="225">
        <f>SUM(I228:I242)</f>
        <v>3.7600000000000002</v>
      </c>
      <c r="J243" s="195"/>
      <c r="K243" s="196"/>
      <c r="L243" s="171" t="s">
        <v>113</v>
      </c>
      <c r="M243" s="173">
        <f>M239*(M240*8)*M241</f>
        <v>0</v>
      </c>
    </row>
    <row r="244" spans="1:17" ht="15" thickBot="1" x14ac:dyDescent="0.4">
      <c r="A244" s="325"/>
      <c r="B244" s="197" t="s">
        <v>121</v>
      </c>
      <c r="C244" s="18"/>
      <c r="D244" s="248" t="s">
        <v>100</v>
      </c>
      <c r="E244" s="199">
        <f>E48</f>
        <v>1.89</v>
      </c>
      <c r="F244" s="311" t="s">
        <v>122</v>
      </c>
      <c r="G244" s="312"/>
      <c r="H244" s="313"/>
      <c r="I244" s="153"/>
      <c r="J244" s="201">
        <f>SUM(J228:J242)</f>
        <v>4.8849999999999998</v>
      </c>
      <c r="K244" s="196" t="s">
        <v>249</v>
      </c>
      <c r="L244" s="174" t="s">
        <v>115</v>
      </c>
      <c r="M244" s="173">
        <f>(M243+M242)*1.15</f>
        <v>0</v>
      </c>
    </row>
    <row r="245" spans="1:17" ht="26" x14ac:dyDescent="0.35">
      <c r="A245" s="325"/>
      <c r="B245" s="202" t="s">
        <v>123</v>
      </c>
      <c r="C245" s="22">
        <v>1</v>
      </c>
      <c r="D245" s="249" t="s">
        <v>100</v>
      </c>
      <c r="E245" s="160">
        <f>E49</f>
        <v>3.05</v>
      </c>
      <c r="F245" s="311"/>
      <c r="G245" s="312"/>
      <c r="H245" s="313"/>
      <c r="I245" s="200"/>
      <c r="J245" s="204">
        <f>(I243*E245*C245)+(I243*E246*C246)+(I243*E244*C244)</f>
        <v>11.468</v>
      </c>
      <c r="K245" s="196" t="s">
        <v>124</v>
      </c>
    </row>
    <row r="246" spans="1:17" ht="26.5" thickBot="1" x14ac:dyDescent="0.4">
      <c r="A246" s="327"/>
      <c r="B246" s="205" t="s">
        <v>125</v>
      </c>
      <c r="C246" s="23"/>
      <c r="D246" s="250" t="s">
        <v>100</v>
      </c>
      <c r="E246" s="184">
        <f>E50</f>
        <v>3.95</v>
      </c>
      <c r="F246" s="314"/>
      <c r="G246" s="315"/>
      <c r="H246" s="316"/>
      <c r="I246" s="185"/>
      <c r="J246" s="207">
        <f>J245+J244</f>
        <v>16.353000000000002</v>
      </c>
      <c r="K246" s="196" t="s">
        <v>126</v>
      </c>
    </row>
    <row r="247" spans="1:17" s="2" customFormat="1" ht="15" thickBot="1" x14ac:dyDescent="0.4">
      <c r="C247" s="257"/>
      <c r="L247" s="129"/>
      <c r="M247" s="129"/>
    </row>
    <row r="248" spans="1:17" x14ac:dyDescent="0.35">
      <c r="A248" s="305" t="s">
        <v>145</v>
      </c>
      <c r="B248" s="309" t="s">
        <v>146</v>
      </c>
      <c r="C248" s="309"/>
      <c r="D248" s="309"/>
      <c r="E248" s="309"/>
      <c r="F248" s="309"/>
      <c r="G248" s="309"/>
      <c r="H248" s="309"/>
      <c r="I248" s="309"/>
      <c r="J248" s="310"/>
    </row>
    <row r="249" spans="1:17" ht="27" thickBot="1" x14ac:dyDescent="0.4">
      <c r="A249" s="306"/>
      <c r="B249" s="143" t="s">
        <v>90</v>
      </c>
      <c r="C249" s="144" t="s">
        <v>91</v>
      </c>
      <c r="D249" s="145" t="s">
        <v>92</v>
      </c>
      <c r="E249" s="146" t="s">
        <v>93</v>
      </c>
      <c r="F249" s="147" t="s">
        <v>94</v>
      </c>
      <c r="G249" s="148" t="s">
        <v>95</v>
      </c>
      <c r="H249" s="148" t="s">
        <v>96</v>
      </c>
      <c r="I249" s="148" t="s">
        <v>97</v>
      </c>
      <c r="J249" s="148" t="s">
        <v>98</v>
      </c>
    </row>
    <row r="250" spans="1:17" x14ac:dyDescent="0.35">
      <c r="A250" s="307"/>
      <c r="B250" s="149" t="s">
        <v>99</v>
      </c>
      <c r="C250" s="17">
        <v>1</v>
      </c>
      <c r="D250" s="252" t="s">
        <v>100</v>
      </c>
      <c r="E250" s="152">
        <v>2.97</v>
      </c>
      <c r="F250" s="153">
        <v>0.75</v>
      </c>
      <c r="G250" s="153" t="s">
        <v>101</v>
      </c>
      <c r="H250" s="155">
        <f>F250*C250</f>
        <v>0.75</v>
      </c>
      <c r="I250" s="153">
        <v>0</v>
      </c>
      <c r="J250" s="209">
        <f t="shared" ref="J250:J257" si="39">H250*E250</f>
        <v>2.2275</v>
      </c>
    </row>
    <row r="251" spans="1:17" x14ac:dyDescent="0.35">
      <c r="A251" s="307"/>
      <c r="B251" s="157" t="s">
        <v>102</v>
      </c>
      <c r="C251" s="19"/>
      <c r="D251" s="249" t="s">
        <v>100</v>
      </c>
      <c r="E251" s="160">
        <v>3.51</v>
      </c>
      <c r="F251" s="161">
        <v>0.75</v>
      </c>
      <c r="G251" s="161" t="s">
        <v>101</v>
      </c>
      <c r="H251" s="163">
        <f t="shared" ref="H251:H264" si="40">F251*C251</f>
        <v>0</v>
      </c>
      <c r="I251" s="161">
        <v>0</v>
      </c>
      <c r="J251" s="210">
        <f t="shared" si="39"/>
        <v>0</v>
      </c>
      <c r="Q251" s="99"/>
    </row>
    <row r="252" spans="1:17" ht="15.75" customHeight="1" x14ac:dyDescent="0.35">
      <c r="A252" s="307"/>
      <c r="B252" s="157" t="s">
        <v>104</v>
      </c>
      <c r="C252" s="19"/>
      <c r="D252" s="249" t="s">
        <v>100</v>
      </c>
      <c r="E252" s="160">
        <v>3.8</v>
      </c>
      <c r="F252" s="161">
        <v>0.1</v>
      </c>
      <c r="G252" s="161" t="s">
        <v>101</v>
      </c>
      <c r="H252" s="163">
        <f t="shared" si="40"/>
        <v>0</v>
      </c>
      <c r="I252" s="161">
        <v>0</v>
      </c>
      <c r="J252" s="210">
        <f t="shared" si="39"/>
        <v>0</v>
      </c>
      <c r="Q252" s="99"/>
    </row>
    <row r="253" spans="1:17" x14ac:dyDescent="0.35">
      <c r="A253" s="307"/>
      <c r="B253" s="157" t="s">
        <v>106</v>
      </c>
      <c r="C253" s="19"/>
      <c r="D253" s="249" t="s">
        <v>76</v>
      </c>
      <c r="E253" s="160">
        <v>0.7</v>
      </c>
      <c r="F253" s="161">
        <v>0.03</v>
      </c>
      <c r="G253" s="161">
        <f>(2.2*F253)</f>
        <v>6.6000000000000003E-2</v>
      </c>
      <c r="H253" s="163">
        <f t="shared" si="40"/>
        <v>0</v>
      </c>
      <c r="I253" s="161">
        <f t="shared" ref="I253:I264" si="41">G253*C253</f>
        <v>0</v>
      </c>
      <c r="J253" s="210">
        <f t="shared" si="39"/>
        <v>0</v>
      </c>
      <c r="Q253" s="99"/>
    </row>
    <row r="254" spans="1:17" x14ac:dyDescent="0.35">
      <c r="A254" s="307"/>
      <c r="B254" s="157" t="s">
        <v>108</v>
      </c>
      <c r="C254" s="19"/>
      <c r="D254" s="249" t="s">
        <v>76</v>
      </c>
      <c r="E254" s="160">
        <v>2.65</v>
      </c>
      <c r="F254" s="161">
        <v>0.3</v>
      </c>
      <c r="G254" s="161">
        <v>0.75</v>
      </c>
      <c r="H254" s="163">
        <f t="shared" si="40"/>
        <v>0</v>
      </c>
      <c r="I254" s="161">
        <f t="shared" si="41"/>
        <v>0</v>
      </c>
      <c r="J254" s="210">
        <f t="shared" si="39"/>
        <v>0</v>
      </c>
      <c r="Q254" s="99"/>
    </row>
    <row r="255" spans="1:17" x14ac:dyDescent="0.35">
      <c r="A255" s="307"/>
      <c r="B255" s="157" t="s">
        <v>110</v>
      </c>
      <c r="C255" s="19">
        <v>2</v>
      </c>
      <c r="D255" s="249" t="s">
        <v>76</v>
      </c>
      <c r="E255" s="160">
        <v>2.65</v>
      </c>
      <c r="F255" s="161">
        <v>0.45</v>
      </c>
      <c r="G255" s="161">
        <v>1</v>
      </c>
      <c r="H255" s="163">
        <f t="shared" si="40"/>
        <v>0.9</v>
      </c>
      <c r="I255" s="161">
        <f t="shared" si="41"/>
        <v>2</v>
      </c>
      <c r="J255" s="210">
        <f t="shared" si="39"/>
        <v>2.3849999999999998</v>
      </c>
      <c r="Q255" s="99"/>
    </row>
    <row r="256" spans="1:17" x14ac:dyDescent="0.35">
      <c r="A256" s="307"/>
      <c r="B256" s="157" t="s">
        <v>112</v>
      </c>
      <c r="C256" s="19">
        <v>1</v>
      </c>
      <c r="D256" s="249" t="s">
        <v>76</v>
      </c>
      <c r="E256" s="160">
        <v>1.1299999999999999</v>
      </c>
      <c r="F256" s="161">
        <v>0.6</v>
      </c>
      <c r="G256" s="161">
        <f>(2.2*F256)</f>
        <v>1.32</v>
      </c>
      <c r="H256" s="163">
        <f t="shared" si="40"/>
        <v>0.6</v>
      </c>
      <c r="I256" s="161">
        <f t="shared" si="41"/>
        <v>1.32</v>
      </c>
      <c r="J256" s="210">
        <f t="shared" si="39"/>
        <v>0.67799999999999994</v>
      </c>
      <c r="L256" s="2"/>
      <c r="M256" s="2"/>
      <c r="N256" s="2"/>
      <c r="Q256" s="99"/>
    </row>
    <row r="257" spans="1:18" x14ac:dyDescent="0.35">
      <c r="A257" s="307"/>
      <c r="B257" s="157" t="s">
        <v>114</v>
      </c>
      <c r="C257" s="19"/>
      <c r="D257" s="249" t="s">
        <v>76</v>
      </c>
      <c r="E257" s="160">
        <v>2.65</v>
      </c>
      <c r="F257" s="161">
        <v>0.8</v>
      </c>
      <c r="G257" s="161">
        <f>(2.2*F257)</f>
        <v>1.7600000000000002</v>
      </c>
      <c r="H257" s="163">
        <f t="shared" si="40"/>
        <v>0</v>
      </c>
      <c r="I257" s="161">
        <f t="shared" si="41"/>
        <v>0</v>
      </c>
      <c r="J257" s="210">
        <f t="shared" si="39"/>
        <v>0</v>
      </c>
      <c r="Q257" s="99"/>
    </row>
    <row r="258" spans="1:18" x14ac:dyDescent="0.35">
      <c r="A258" s="307"/>
      <c r="B258" s="157" t="s">
        <v>116</v>
      </c>
      <c r="C258" s="19"/>
      <c r="D258" s="249" t="s">
        <v>76</v>
      </c>
      <c r="E258" s="160">
        <v>6.8</v>
      </c>
      <c r="F258" s="161">
        <v>0.5</v>
      </c>
      <c r="G258" s="161">
        <v>0.75</v>
      </c>
      <c r="H258" s="163">
        <f t="shared" si="40"/>
        <v>0</v>
      </c>
      <c r="I258" s="161">
        <f t="shared" si="41"/>
        <v>0</v>
      </c>
      <c r="J258" s="210">
        <f t="shared" ref="J258:J264" si="42">C258*E258</f>
        <v>0</v>
      </c>
    </row>
    <row r="259" spans="1:18" ht="15" thickBot="1" x14ac:dyDescent="0.4">
      <c r="A259" s="307"/>
      <c r="B259" s="157" t="s">
        <v>117</v>
      </c>
      <c r="C259" s="19"/>
      <c r="D259" s="249" t="s">
        <v>76</v>
      </c>
      <c r="E259" s="160">
        <v>13.75</v>
      </c>
      <c r="F259" s="161">
        <v>1</v>
      </c>
      <c r="G259" s="161">
        <v>0.75</v>
      </c>
      <c r="H259" s="163">
        <f t="shared" si="40"/>
        <v>0</v>
      </c>
      <c r="I259" s="161">
        <f t="shared" si="41"/>
        <v>0</v>
      </c>
      <c r="J259" s="210">
        <f t="shared" si="42"/>
        <v>0</v>
      </c>
    </row>
    <row r="260" spans="1:18" ht="15.5" thickTop="1" thickBot="1" x14ac:dyDescent="0.4">
      <c r="A260" s="307"/>
      <c r="B260" s="157" t="s">
        <v>118</v>
      </c>
      <c r="C260" s="19"/>
      <c r="D260" s="249" t="s">
        <v>76</v>
      </c>
      <c r="E260" s="160">
        <v>9.16</v>
      </c>
      <c r="F260" s="161">
        <v>1.5</v>
      </c>
      <c r="G260" s="161">
        <v>0.75</v>
      </c>
      <c r="H260" s="163">
        <f t="shared" si="40"/>
        <v>0</v>
      </c>
      <c r="I260" s="161">
        <f t="shared" si="41"/>
        <v>0</v>
      </c>
      <c r="J260" s="210">
        <f t="shared" si="42"/>
        <v>0</v>
      </c>
      <c r="L260" s="165" t="s">
        <v>103</v>
      </c>
      <c r="M260" s="166">
        <f>C27</f>
        <v>0</v>
      </c>
      <c r="O260" s="302" t="s">
        <v>253</v>
      </c>
      <c r="P260" s="303"/>
      <c r="Q260" s="303"/>
      <c r="R260" s="304"/>
    </row>
    <row r="261" spans="1:18" ht="15" thickBot="1" x14ac:dyDescent="0.4">
      <c r="A261" s="307"/>
      <c r="B261" s="157"/>
      <c r="C261" s="19"/>
      <c r="D261" s="249"/>
      <c r="E261" s="160">
        <v>0</v>
      </c>
      <c r="F261" s="161">
        <v>0</v>
      </c>
      <c r="G261" s="161">
        <v>0</v>
      </c>
      <c r="H261" s="163">
        <f t="shared" si="40"/>
        <v>0</v>
      </c>
      <c r="I261" s="161">
        <f t="shared" si="41"/>
        <v>0</v>
      </c>
      <c r="J261" s="210">
        <f t="shared" si="42"/>
        <v>0</v>
      </c>
      <c r="L261" s="167" t="s">
        <v>105</v>
      </c>
      <c r="M261" s="168">
        <f>M260*10%</f>
        <v>0</v>
      </c>
      <c r="O261" s="92">
        <f>(H265+I265)*M260</f>
        <v>0</v>
      </c>
      <c r="P261" s="297" t="s">
        <v>254</v>
      </c>
      <c r="Q261" s="297"/>
      <c r="R261" s="298"/>
    </row>
    <row r="262" spans="1:18" ht="15" thickBot="1" x14ac:dyDescent="0.4">
      <c r="A262" s="307"/>
      <c r="B262" s="211"/>
      <c r="C262" s="19"/>
      <c r="D262" s="249"/>
      <c r="E262" s="160">
        <v>0</v>
      </c>
      <c r="F262" s="161">
        <v>0</v>
      </c>
      <c r="G262" s="161">
        <v>0</v>
      </c>
      <c r="H262" s="163">
        <f t="shared" si="40"/>
        <v>0</v>
      </c>
      <c r="I262" s="161">
        <f t="shared" si="41"/>
        <v>0</v>
      </c>
      <c r="J262" s="210">
        <f t="shared" si="42"/>
        <v>0</v>
      </c>
      <c r="L262" s="171" t="s">
        <v>235</v>
      </c>
      <c r="M262" s="20">
        <v>0</v>
      </c>
      <c r="O262" s="93">
        <v>50</v>
      </c>
      <c r="P262" s="296" t="s">
        <v>255</v>
      </c>
      <c r="Q262" s="297"/>
      <c r="R262" s="298"/>
    </row>
    <row r="263" spans="1:18" ht="15.5" thickTop="1" thickBot="1" x14ac:dyDescent="0.4">
      <c r="A263" s="307"/>
      <c r="B263" s="211"/>
      <c r="C263" s="19"/>
      <c r="D263" s="249"/>
      <c r="E263" s="160">
        <v>0</v>
      </c>
      <c r="F263" s="161">
        <v>0</v>
      </c>
      <c r="G263" s="161">
        <v>0</v>
      </c>
      <c r="H263" s="163">
        <f t="shared" si="40"/>
        <v>0</v>
      </c>
      <c r="I263" s="161">
        <f t="shared" si="41"/>
        <v>0</v>
      </c>
      <c r="J263" s="210">
        <f t="shared" si="42"/>
        <v>0</v>
      </c>
      <c r="L263" s="171" t="s">
        <v>252</v>
      </c>
      <c r="M263" s="20">
        <v>0</v>
      </c>
      <c r="O263" s="94">
        <f>O261/O262</f>
        <v>0</v>
      </c>
      <c r="P263" s="299" t="s">
        <v>256</v>
      </c>
      <c r="Q263" s="300"/>
      <c r="R263" s="301"/>
    </row>
    <row r="264" spans="1:18" ht="15" thickBot="1" x14ac:dyDescent="0.4">
      <c r="A264" s="307"/>
      <c r="B264" s="211"/>
      <c r="C264" s="25"/>
      <c r="D264" s="250"/>
      <c r="E264" s="184">
        <v>0</v>
      </c>
      <c r="F264" s="185">
        <v>0</v>
      </c>
      <c r="G264" s="185">
        <v>0</v>
      </c>
      <c r="H264" s="187">
        <f t="shared" si="40"/>
        <v>0</v>
      </c>
      <c r="I264" s="185">
        <f t="shared" si="41"/>
        <v>0</v>
      </c>
      <c r="J264" s="237">
        <f t="shared" si="42"/>
        <v>0</v>
      </c>
      <c r="L264" s="171" t="s">
        <v>109</v>
      </c>
      <c r="M264" s="173">
        <v>22</v>
      </c>
    </row>
    <row r="265" spans="1:18" ht="15.75" customHeight="1" thickBot="1" x14ac:dyDescent="0.4">
      <c r="A265" s="307"/>
      <c r="B265" s="189"/>
      <c r="C265" s="190"/>
      <c r="D265" s="253"/>
      <c r="E265" s="254"/>
      <c r="F265" s="253"/>
      <c r="G265" s="253"/>
      <c r="H265" s="255">
        <f>SUM(H250:H264)</f>
        <v>2.25</v>
      </c>
      <c r="I265" s="256">
        <f>SUM(I250:I264)</f>
        <v>3.3200000000000003</v>
      </c>
      <c r="J265" s="195"/>
      <c r="K265" s="196"/>
      <c r="L265" s="171" t="s">
        <v>111</v>
      </c>
      <c r="M265" s="173">
        <f>(M260+M261)*J268</f>
        <v>0</v>
      </c>
    </row>
    <row r="266" spans="1:18" ht="15" thickBot="1" x14ac:dyDescent="0.4">
      <c r="A266" s="306"/>
      <c r="B266" s="197" t="s">
        <v>121</v>
      </c>
      <c r="C266" s="18"/>
      <c r="D266" s="248" t="s">
        <v>100</v>
      </c>
      <c r="E266" s="199">
        <f>E48</f>
        <v>1.89</v>
      </c>
      <c r="F266" s="311" t="s">
        <v>122</v>
      </c>
      <c r="G266" s="312"/>
      <c r="H266" s="313"/>
      <c r="I266" s="153"/>
      <c r="J266" s="201">
        <f>SUM(J250:J264)</f>
        <v>5.2904999999999998</v>
      </c>
      <c r="K266" s="196" t="s">
        <v>249</v>
      </c>
      <c r="L266" s="171" t="s">
        <v>113</v>
      </c>
      <c r="M266" s="173">
        <f>M262*(M263*8)*M264</f>
        <v>0</v>
      </c>
    </row>
    <row r="267" spans="1:18" ht="26.5" thickBot="1" x14ac:dyDescent="0.4">
      <c r="A267" s="306"/>
      <c r="B267" s="202" t="s">
        <v>123</v>
      </c>
      <c r="C267" s="22"/>
      <c r="D267" s="249" t="s">
        <v>100</v>
      </c>
      <c r="E267" s="160">
        <f>E49</f>
        <v>3.05</v>
      </c>
      <c r="F267" s="311"/>
      <c r="G267" s="312"/>
      <c r="H267" s="313"/>
      <c r="I267" s="200"/>
      <c r="J267" s="204">
        <f>(I265*E267*C267)+(I265*E268*C268)+(I265*E266*C266)</f>
        <v>0</v>
      </c>
      <c r="K267" s="196" t="s">
        <v>124</v>
      </c>
      <c r="L267" s="174" t="s">
        <v>115</v>
      </c>
      <c r="M267" s="173">
        <f>(M266+M265)*1.15</f>
        <v>0</v>
      </c>
    </row>
    <row r="268" spans="1:18" ht="26.5" thickBot="1" x14ac:dyDescent="0.4">
      <c r="A268" s="308"/>
      <c r="B268" s="205" t="s">
        <v>125</v>
      </c>
      <c r="C268" s="23"/>
      <c r="D268" s="250" t="s">
        <v>100</v>
      </c>
      <c r="E268" s="184">
        <f>E50</f>
        <v>3.95</v>
      </c>
      <c r="F268" s="314"/>
      <c r="G268" s="315"/>
      <c r="H268" s="316"/>
      <c r="I268" s="185"/>
      <c r="J268" s="207">
        <f>J267+J266</f>
        <v>5.2904999999999998</v>
      </c>
      <c r="K268" s="196" t="s">
        <v>126</v>
      </c>
    </row>
  </sheetData>
  <sheetProtection algorithmName="SHA-512" hashValue="FzgpMm4a6Tv5kTRvP+HX4vrBAXDoSq70BvAFRXBbLWoVkiOItUjmBwHSsAB3030PtF38r58T1F6mg398nX0u3A==" saltValue="uUIototskcVmU3zapBTOMw==" spinCount="100000" sheet="1" objects="1" scenarios="1"/>
  <mergeCells count="75">
    <mergeCell ref="A248:A268"/>
    <mergeCell ref="B248:J248"/>
    <mergeCell ref="F266:H268"/>
    <mergeCell ref="A204:A224"/>
    <mergeCell ref="B204:J204"/>
    <mergeCell ref="F222:H224"/>
    <mergeCell ref="A226:A246"/>
    <mergeCell ref="B226:J226"/>
    <mergeCell ref="F244:H246"/>
    <mergeCell ref="A160:A180"/>
    <mergeCell ref="B160:J160"/>
    <mergeCell ref="F178:H180"/>
    <mergeCell ref="A182:A202"/>
    <mergeCell ref="B182:J182"/>
    <mergeCell ref="F200:H202"/>
    <mergeCell ref="A118:A138"/>
    <mergeCell ref="B118:J118"/>
    <mergeCell ref="F136:H138"/>
    <mergeCell ref="A140:A158"/>
    <mergeCell ref="B140:J140"/>
    <mergeCell ref="F156:H158"/>
    <mergeCell ref="A74:A94"/>
    <mergeCell ref="B74:J74"/>
    <mergeCell ref="F92:H94"/>
    <mergeCell ref="A96:A116"/>
    <mergeCell ref="B96:J96"/>
    <mergeCell ref="F114:H116"/>
    <mergeCell ref="A10:D10"/>
    <mergeCell ref="A17:C17"/>
    <mergeCell ref="A30:A50"/>
    <mergeCell ref="B30:J30"/>
    <mergeCell ref="F48:H50"/>
    <mergeCell ref="A52:A72"/>
    <mergeCell ref="B52:J52"/>
    <mergeCell ref="F70:H72"/>
    <mergeCell ref="O33:R33"/>
    <mergeCell ref="P34:R34"/>
    <mergeCell ref="P35:R35"/>
    <mergeCell ref="P36:R36"/>
    <mergeCell ref="O56:R56"/>
    <mergeCell ref="P57:R57"/>
    <mergeCell ref="P58:R58"/>
    <mergeCell ref="P59:R59"/>
    <mergeCell ref="O79:R79"/>
    <mergeCell ref="P80:R80"/>
    <mergeCell ref="P81:R81"/>
    <mergeCell ref="P82:R82"/>
    <mergeCell ref="O102:R102"/>
    <mergeCell ref="P103:R103"/>
    <mergeCell ref="P104:R104"/>
    <mergeCell ref="P105:R105"/>
    <mergeCell ref="O125:R125"/>
    <mergeCell ref="P126:R126"/>
    <mergeCell ref="P127:R127"/>
    <mergeCell ref="P128:R128"/>
    <mergeCell ref="O168:R168"/>
    <mergeCell ref="P169:R169"/>
    <mergeCell ref="P170:R170"/>
    <mergeCell ref="P171:R171"/>
    <mergeCell ref="O191:R191"/>
    <mergeCell ref="P192:R192"/>
    <mergeCell ref="P193:R193"/>
    <mergeCell ref="P194:R194"/>
    <mergeCell ref="O214:R214"/>
    <mergeCell ref="P215:R215"/>
    <mergeCell ref="P216:R216"/>
    <mergeCell ref="P217:R217"/>
    <mergeCell ref="O237:R237"/>
    <mergeCell ref="P262:R262"/>
    <mergeCell ref="P263:R263"/>
    <mergeCell ref="P238:R238"/>
    <mergeCell ref="P239:R239"/>
    <mergeCell ref="P240:R240"/>
    <mergeCell ref="O260:R260"/>
    <mergeCell ref="P261:R26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J41"/>
  <sheetViews>
    <sheetView topLeftCell="A49" workbookViewId="0">
      <selection activeCell="A13" sqref="A13:J13"/>
    </sheetView>
  </sheetViews>
  <sheetFormatPr defaultColWidth="9.1796875" defaultRowHeight="14.5" x14ac:dyDescent="0.35"/>
  <cols>
    <col min="1" max="2" width="15.54296875" style="2" customWidth="1"/>
    <col min="3" max="3" width="12.1796875" style="2" customWidth="1"/>
    <col min="4" max="4" width="14" style="2" customWidth="1"/>
    <col min="5" max="5" width="14.7265625" style="2" customWidth="1"/>
    <col min="6" max="6" width="14.1796875" style="2" customWidth="1"/>
    <col min="7" max="7" width="16.1796875" style="2" customWidth="1"/>
    <col min="8" max="8" width="12.26953125" style="96" customWidth="1"/>
    <col min="9" max="14" width="13" style="2" customWidth="1"/>
    <col min="15" max="15" width="9.1796875" style="2"/>
    <col min="16" max="20" width="13" style="2" customWidth="1"/>
    <col min="21" max="16384" width="9.1796875" style="2"/>
  </cols>
  <sheetData>
    <row r="2" spans="1:10" ht="61.5" x14ac:dyDescent="1.35">
      <c r="A2" s="328" t="s">
        <v>147</v>
      </c>
      <c r="B2" s="328"/>
      <c r="C2" s="328"/>
      <c r="D2" s="328"/>
      <c r="E2" s="328"/>
      <c r="F2" s="328"/>
      <c r="G2" s="328"/>
      <c r="H2" s="328"/>
      <c r="I2" s="328"/>
      <c r="J2" s="328"/>
    </row>
    <row r="3" spans="1:10" s="129" customFormat="1" ht="49.5" customHeight="1" thickBot="1" x14ac:dyDescent="0.4">
      <c r="A3" s="258" t="s">
        <v>148</v>
      </c>
      <c r="B3" s="258" t="s">
        <v>149</v>
      </c>
      <c r="C3" s="259" t="s">
        <v>150</v>
      </c>
      <c r="D3" s="259" t="s">
        <v>151</v>
      </c>
      <c r="E3" s="259" t="s">
        <v>152</v>
      </c>
      <c r="F3" s="259" t="s">
        <v>153</v>
      </c>
      <c r="G3" s="259" t="s">
        <v>154</v>
      </c>
      <c r="H3" s="260" t="s">
        <v>155</v>
      </c>
      <c r="I3" s="259" t="s">
        <v>156</v>
      </c>
      <c r="J3" s="261" t="s">
        <v>157</v>
      </c>
    </row>
    <row r="4" spans="1:10" ht="15" thickTop="1" x14ac:dyDescent="0.35">
      <c r="A4" s="26"/>
      <c r="B4" s="26"/>
      <c r="C4" s="262">
        <f t="shared" ref="C4:C9" si="0">A4*3.142</f>
        <v>0</v>
      </c>
      <c r="D4" s="262">
        <v>5.0999999999999996</v>
      </c>
      <c r="E4" s="262">
        <v>9.4207511139401667</v>
      </c>
      <c r="F4" s="262">
        <f t="shared" ref="F4:F9" si="1">C4*E4</f>
        <v>0</v>
      </c>
      <c r="G4" s="262">
        <f t="shared" ref="G4:G9" si="2">F4*1.1</f>
        <v>0</v>
      </c>
      <c r="H4" s="26">
        <v>2.1</v>
      </c>
      <c r="I4" s="262">
        <f t="shared" ref="I4:I9" si="3">G4*H4</f>
        <v>0</v>
      </c>
      <c r="J4" s="262">
        <f t="shared" ref="J4:J9" si="4">I4*B4</f>
        <v>0</v>
      </c>
    </row>
    <row r="5" spans="1:10" x14ac:dyDescent="0.35">
      <c r="A5" s="26"/>
      <c r="B5" s="26"/>
      <c r="C5" s="262">
        <f t="shared" si="0"/>
        <v>0</v>
      </c>
      <c r="D5" s="262">
        <v>6</v>
      </c>
      <c r="E5" s="262">
        <v>11.245491194568217</v>
      </c>
      <c r="F5" s="262">
        <f t="shared" si="1"/>
        <v>0</v>
      </c>
      <c r="G5" s="262">
        <f t="shared" si="2"/>
        <v>0</v>
      </c>
      <c r="H5" s="26">
        <v>2.1</v>
      </c>
      <c r="I5" s="262">
        <f t="shared" si="3"/>
        <v>0</v>
      </c>
      <c r="J5" s="262">
        <f t="shared" si="4"/>
        <v>0</v>
      </c>
    </row>
    <row r="6" spans="1:10" x14ac:dyDescent="0.35">
      <c r="A6" s="26"/>
      <c r="B6" s="26"/>
      <c r="C6" s="262">
        <f t="shared" si="0"/>
        <v>0</v>
      </c>
      <c r="D6" s="262">
        <v>6.5</v>
      </c>
      <c r="E6" s="262">
        <v>12.2306083477312</v>
      </c>
      <c r="F6" s="262">
        <f t="shared" si="1"/>
        <v>0</v>
      </c>
      <c r="G6" s="262">
        <f t="shared" si="2"/>
        <v>0</v>
      </c>
      <c r="H6" s="26">
        <v>2.1</v>
      </c>
      <c r="I6" s="262">
        <f t="shared" si="3"/>
        <v>0</v>
      </c>
      <c r="J6" s="262">
        <f t="shared" si="4"/>
        <v>0</v>
      </c>
    </row>
    <row r="7" spans="1:10" x14ac:dyDescent="0.35">
      <c r="A7" s="26"/>
      <c r="B7" s="26"/>
      <c r="C7" s="262">
        <f t="shared" si="0"/>
        <v>0</v>
      </c>
      <c r="D7" s="262">
        <v>7.2</v>
      </c>
      <c r="E7" s="262">
        <v>13.645767027371098</v>
      </c>
      <c r="F7" s="262">
        <f t="shared" si="1"/>
        <v>0</v>
      </c>
      <c r="G7" s="262">
        <f t="shared" si="2"/>
        <v>0</v>
      </c>
      <c r="H7" s="26">
        <v>2.1</v>
      </c>
      <c r="I7" s="262">
        <f t="shared" si="3"/>
        <v>0</v>
      </c>
      <c r="J7" s="262">
        <f t="shared" si="4"/>
        <v>0</v>
      </c>
    </row>
    <row r="8" spans="1:10" x14ac:dyDescent="0.35">
      <c r="A8" s="26"/>
      <c r="B8" s="26"/>
      <c r="C8" s="262">
        <f t="shared" si="0"/>
        <v>0</v>
      </c>
      <c r="D8" s="262">
        <v>7.9</v>
      </c>
      <c r="E8" s="262">
        <v>15.064714619138554</v>
      </c>
      <c r="F8" s="262">
        <f t="shared" si="1"/>
        <v>0</v>
      </c>
      <c r="G8" s="262">
        <f t="shared" si="2"/>
        <v>0</v>
      </c>
      <c r="H8" s="26">
        <v>2.1</v>
      </c>
      <c r="I8" s="262">
        <f t="shared" si="3"/>
        <v>0</v>
      </c>
      <c r="J8" s="262">
        <f t="shared" si="4"/>
        <v>0</v>
      </c>
    </row>
    <row r="9" spans="1:10" x14ac:dyDescent="0.35">
      <c r="A9" s="26"/>
      <c r="B9" s="26"/>
      <c r="C9" s="262">
        <f t="shared" si="0"/>
        <v>0</v>
      </c>
      <c r="D9" s="262">
        <v>8.6</v>
      </c>
      <c r="E9" s="262">
        <v>16.454487587523872</v>
      </c>
      <c r="F9" s="262">
        <f t="shared" si="1"/>
        <v>0</v>
      </c>
      <c r="G9" s="262">
        <f t="shared" si="2"/>
        <v>0</v>
      </c>
      <c r="H9" s="26">
        <v>2.1</v>
      </c>
      <c r="I9" s="262">
        <f t="shared" si="3"/>
        <v>0</v>
      </c>
      <c r="J9" s="262">
        <f t="shared" si="4"/>
        <v>0</v>
      </c>
    </row>
    <row r="13" spans="1:10" ht="61.5" x14ac:dyDescent="1.35">
      <c r="A13" s="328" t="s">
        <v>158</v>
      </c>
      <c r="B13" s="328"/>
      <c r="C13" s="328"/>
      <c r="D13" s="328"/>
      <c r="E13" s="328"/>
      <c r="F13" s="328"/>
      <c r="G13" s="328"/>
      <c r="H13" s="328"/>
      <c r="I13" s="328"/>
      <c r="J13" s="328"/>
    </row>
    <row r="14" spans="1:10" ht="29.5" thickBot="1" x14ac:dyDescent="0.4">
      <c r="A14" s="263" t="s">
        <v>159</v>
      </c>
      <c r="B14" s="258" t="s">
        <v>149</v>
      </c>
      <c r="C14" s="264" t="s">
        <v>150</v>
      </c>
      <c r="D14" s="264" t="s">
        <v>151</v>
      </c>
      <c r="E14" s="264" t="s">
        <v>152</v>
      </c>
      <c r="F14" s="264" t="s">
        <v>153</v>
      </c>
      <c r="G14" s="264" t="s">
        <v>154</v>
      </c>
      <c r="H14" s="260" t="s">
        <v>160</v>
      </c>
      <c r="I14" s="264" t="s">
        <v>156</v>
      </c>
      <c r="J14" s="261" t="s">
        <v>157</v>
      </c>
    </row>
    <row r="15" spans="1:10" ht="15" thickTop="1" x14ac:dyDescent="0.35">
      <c r="A15" s="27"/>
      <c r="B15" s="27"/>
      <c r="C15" s="265">
        <f t="shared" ref="C15:C24" si="5">A15*3.142</f>
        <v>0</v>
      </c>
      <c r="D15" s="262">
        <v>5.0999999999999996</v>
      </c>
      <c r="E15" s="262">
        <v>9.4419690218544474</v>
      </c>
      <c r="F15" s="265">
        <f t="shared" ref="F15:F24" si="6">C15*E15</f>
        <v>0</v>
      </c>
      <c r="G15" s="265">
        <f t="shared" ref="G15:G24" si="7">F15*1.1</f>
        <v>0</v>
      </c>
      <c r="H15" s="26">
        <v>2.7</v>
      </c>
      <c r="I15" s="262">
        <f t="shared" ref="I15:I24" si="8">G15*H15</f>
        <v>0</v>
      </c>
      <c r="J15" s="262">
        <f>I15*B15</f>
        <v>0</v>
      </c>
    </row>
    <row r="16" spans="1:10" x14ac:dyDescent="0.35">
      <c r="A16" s="27"/>
      <c r="B16" s="27"/>
      <c r="C16" s="265">
        <f t="shared" si="5"/>
        <v>0</v>
      </c>
      <c r="D16" s="262">
        <v>5.7</v>
      </c>
      <c r="E16" s="262">
        <v>10.6392652541602</v>
      </c>
      <c r="F16" s="265">
        <f t="shared" si="6"/>
        <v>0</v>
      </c>
      <c r="G16" s="265">
        <f t="shared" si="7"/>
        <v>0</v>
      </c>
      <c r="H16" s="26">
        <v>2.7</v>
      </c>
      <c r="I16" s="262">
        <f t="shared" si="8"/>
        <v>0</v>
      </c>
      <c r="J16" s="262">
        <f t="shared" ref="J16:J24" si="9">I16*B16</f>
        <v>0</v>
      </c>
    </row>
    <row r="17" spans="1:10" x14ac:dyDescent="0.35">
      <c r="A17" s="27"/>
      <c r="B17" s="27"/>
      <c r="C17" s="265">
        <f t="shared" si="5"/>
        <v>0</v>
      </c>
      <c r="D17" s="262">
        <v>6.3</v>
      </c>
      <c r="E17" s="262">
        <v>11.696371737746656</v>
      </c>
      <c r="F17" s="265">
        <f t="shared" si="6"/>
        <v>0</v>
      </c>
      <c r="G17" s="265">
        <f t="shared" si="7"/>
        <v>0</v>
      </c>
      <c r="H17" s="26">
        <v>2.7</v>
      </c>
      <c r="I17" s="262">
        <f t="shared" si="8"/>
        <v>0</v>
      </c>
      <c r="J17" s="262">
        <f t="shared" si="9"/>
        <v>0</v>
      </c>
    </row>
    <row r="18" spans="1:10" x14ac:dyDescent="0.35">
      <c r="A18" s="27"/>
      <c r="B18" s="27"/>
      <c r="C18" s="265">
        <f t="shared" si="5"/>
        <v>0</v>
      </c>
      <c r="D18" s="262">
        <v>6.8</v>
      </c>
      <c r="E18" s="262">
        <v>12.872197467996322</v>
      </c>
      <c r="F18" s="265">
        <f t="shared" si="6"/>
        <v>0</v>
      </c>
      <c r="G18" s="265">
        <f t="shared" si="7"/>
        <v>0</v>
      </c>
      <c r="H18" s="26">
        <v>2.7</v>
      </c>
      <c r="I18" s="262">
        <f t="shared" si="8"/>
        <v>0</v>
      </c>
      <c r="J18" s="262">
        <f t="shared" si="9"/>
        <v>0</v>
      </c>
    </row>
    <row r="19" spans="1:10" x14ac:dyDescent="0.35">
      <c r="A19" s="27"/>
      <c r="B19" s="27"/>
      <c r="C19" s="265">
        <f t="shared" si="5"/>
        <v>0</v>
      </c>
      <c r="D19" s="262">
        <v>7.4</v>
      </c>
      <c r="E19" s="262">
        <v>14.06747294716741</v>
      </c>
      <c r="F19" s="265">
        <f t="shared" si="6"/>
        <v>0</v>
      </c>
      <c r="G19" s="265">
        <f t="shared" si="7"/>
        <v>0</v>
      </c>
      <c r="H19" s="26">
        <v>2.7</v>
      </c>
      <c r="I19" s="262">
        <f t="shared" si="8"/>
        <v>0</v>
      </c>
      <c r="J19" s="262">
        <f t="shared" si="9"/>
        <v>0</v>
      </c>
    </row>
    <row r="20" spans="1:10" x14ac:dyDescent="0.35">
      <c r="A20" s="27"/>
      <c r="B20" s="27"/>
      <c r="C20" s="265">
        <f t="shared" si="5"/>
        <v>0</v>
      </c>
      <c r="D20" s="262">
        <v>8.6999999999999993</v>
      </c>
      <c r="E20" s="262">
        <v>16.390833863781033</v>
      </c>
      <c r="F20" s="265">
        <f t="shared" si="6"/>
        <v>0</v>
      </c>
      <c r="G20" s="265">
        <f t="shared" si="7"/>
        <v>0</v>
      </c>
      <c r="H20" s="26">
        <v>2.7</v>
      </c>
      <c r="I20" s="262">
        <f t="shared" si="8"/>
        <v>0</v>
      </c>
      <c r="J20" s="262">
        <f t="shared" si="9"/>
        <v>0</v>
      </c>
    </row>
    <row r="21" spans="1:10" x14ac:dyDescent="0.35">
      <c r="A21" s="27"/>
      <c r="B21" s="27"/>
      <c r="C21" s="265">
        <f t="shared" si="5"/>
        <v>0</v>
      </c>
      <c r="D21" s="262">
        <v>9.8000000000000007</v>
      </c>
      <c r="E21" s="262">
        <v>18.868782395198693</v>
      </c>
      <c r="F21" s="265">
        <f t="shared" si="6"/>
        <v>0</v>
      </c>
      <c r="G21" s="265">
        <f t="shared" si="7"/>
        <v>0</v>
      </c>
      <c r="H21" s="26">
        <v>2.7</v>
      </c>
      <c r="I21" s="262">
        <f t="shared" si="8"/>
        <v>0</v>
      </c>
      <c r="J21" s="262">
        <f>I21*B21</f>
        <v>0</v>
      </c>
    </row>
    <row r="22" spans="1:10" x14ac:dyDescent="0.35">
      <c r="A22" s="27"/>
      <c r="B22" s="27"/>
      <c r="C22" s="265">
        <f t="shared" si="5"/>
        <v>0</v>
      </c>
      <c r="D22" s="262">
        <v>10.9</v>
      </c>
      <c r="E22" s="262">
        <v>21.045512412476128</v>
      </c>
      <c r="F22" s="265">
        <f t="shared" si="6"/>
        <v>0</v>
      </c>
      <c r="G22" s="265">
        <f t="shared" si="7"/>
        <v>0</v>
      </c>
      <c r="H22" s="26">
        <v>2.7</v>
      </c>
      <c r="I22" s="262">
        <f t="shared" si="8"/>
        <v>0</v>
      </c>
      <c r="J22" s="262">
        <f t="shared" si="9"/>
        <v>0</v>
      </c>
    </row>
    <row r="23" spans="1:10" x14ac:dyDescent="0.35">
      <c r="A23" s="27"/>
      <c r="B23" s="27"/>
      <c r="C23" s="265">
        <f t="shared" si="5"/>
        <v>0</v>
      </c>
      <c r="D23" s="262">
        <v>12.1</v>
      </c>
      <c r="E23" s="262">
        <v>23.445788245279015</v>
      </c>
      <c r="F23" s="265">
        <f t="shared" si="6"/>
        <v>0</v>
      </c>
      <c r="G23" s="265">
        <f t="shared" si="7"/>
        <v>0</v>
      </c>
      <c r="H23" s="26">
        <v>2.7</v>
      </c>
      <c r="I23" s="262">
        <f t="shared" si="8"/>
        <v>0</v>
      </c>
      <c r="J23" s="262">
        <f t="shared" si="9"/>
        <v>0</v>
      </c>
    </row>
    <row r="24" spans="1:10" x14ac:dyDescent="0.35">
      <c r="A24" s="27">
        <v>1</v>
      </c>
      <c r="B24" s="27">
        <v>3</v>
      </c>
      <c r="C24" s="265">
        <f t="shared" si="5"/>
        <v>3.1419999999999999</v>
      </c>
      <c r="D24" s="262">
        <v>13.3</v>
      </c>
      <c r="E24" s="262">
        <v>25.843411839592619</v>
      </c>
      <c r="F24" s="265">
        <f t="shared" si="6"/>
        <v>81.2</v>
      </c>
      <c r="G24" s="265">
        <f t="shared" si="7"/>
        <v>89.320000000000007</v>
      </c>
      <c r="H24" s="26">
        <v>2.7</v>
      </c>
      <c r="I24" s="262">
        <f t="shared" si="8"/>
        <v>241.16400000000004</v>
      </c>
      <c r="J24" s="262">
        <f t="shared" si="9"/>
        <v>723.49200000000019</v>
      </c>
    </row>
    <row r="28" spans="1:10" ht="61.5" x14ac:dyDescent="1.35">
      <c r="A28" s="328" t="s">
        <v>161</v>
      </c>
      <c r="B28" s="328"/>
      <c r="C28" s="328"/>
      <c r="D28" s="328"/>
      <c r="E28" s="328"/>
      <c r="F28" s="328"/>
      <c r="G28" s="328"/>
      <c r="H28" s="328"/>
      <c r="I28" s="328"/>
      <c r="J28" s="328"/>
    </row>
    <row r="29" spans="1:10" ht="29.5" thickBot="1" x14ac:dyDescent="0.4">
      <c r="A29" s="263" t="s">
        <v>159</v>
      </c>
      <c r="B29" s="258" t="s">
        <v>149</v>
      </c>
      <c r="C29" s="264" t="s">
        <v>150</v>
      </c>
      <c r="D29" s="264" t="s">
        <v>151</v>
      </c>
      <c r="E29" s="264" t="s">
        <v>152</v>
      </c>
      <c r="F29" s="264" t="s">
        <v>153</v>
      </c>
      <c r="G29" s="264" t="s">
        <v>154</v>
      </c>
      <c r="H29" s="260" t="s">
        <v>160</v>
      </c>
      <c r="I29" s="264" t="s">
        <v>156</v>
      </c>
      <c r="J29" s="261" t="s">
        <v>157</v>
      </c>
    </row>
    <row r="30" spans="1:10" ht="15" thickTop="1" x14ac:dyDescent="0.35">
      <c r="A30" s="26"/>
      <c r="B30" s="26"/>
      <c r="C30" s="262">
        <f t="shared" ref="C30:C41" si="10">A30*3.142</f>
        <v>0</v>
      </c>
      <c r="D30" s="262">
        <v>5.3</v>
      </c>
      <c r="E30" s="262">
        <v>9.8663271801400381</v>
      </c>
      <c r="F30" s="262">
        <f t="shared" ref="F30:F41" si="11">C30*E30</f>
        <v>0</v>
      </c>
      <c r="G30" s="262">
        <f t="shared" ref="G30:G41" si="12">F30*1.1</f>
        <v>0</v>
      </c>
      <c r="H30" s="26">
        <v>3</v>
      </c>
      <c r="I30" s="262">
        <f t="shared" ref="I30:I41" si="13">G30*H30</f>
        <v>0</v>
      </c>
      <c r="J30" s="262">
        <f t="shared" ref="J30:J41" si="14">I30*B30</f>
        <v>0</v>
      </c>
    </row>
    <row r="31" spans="1:10" x14ac:dyDescent="0.35">
      <c r="A31" s="26"/>
      <c r="B31" s="26"/>
      <c r="C31" s="262">
        <f t="shared" si="10"/>
        <v>0</v>
      </c>
      <c r="D31" s="262">
        <v>6.2</v>
      </c>
      <c r="E31" s="262">
        <v>11.58497772119669</v>
      </c>
      <c r="F31" s="262">
        <f t="shared" si="11"/>
        <v>0</v>
      </c>
      <c r="G31" s="262">
        <f t="shared" si="12"/>
        <v>0</v>
      </c>
      <c r="H31" s="26">
        <v>3</v>
      </c>
      <c r="I31" s="262">
        <f t="shared" si="13"/>
        <v>0</v>
      </c>
      <c r="J31" s="262">
        <f t="shared" si="14"/>
        <v>0</v>
      </c>
    </row>
    <row r="32" spans="1:10" x14ac:dyDescent="0.35">
      <c r="A32" s="26"/>
      <c r="B32" s="26"/>
      <c r="C32" s="262">
        <f t="shared" si="10"/>
        <v>0</v>
      </c>
      <c r="D32" s="262">
        <v>7.2</v>
      </c>
      <c r="E32" s="262">
        <v>13.685550604710377</v>
      </c>
      <c r="F32" s="262">
        <f t="shared" si="11"/>
        <v>0</v>
      </c>
      <c r="G32" s="262">
        <f t="shared" si="12"/>
        <v>0</v>
      </c>
      <c r="H32" s="26">
        <v>3</v>
      </c>
      <c r="I32" s="262">
        <f t="shared" si="13"/>
        <v>0</v>
      </c>
      <c r="J32" s="262">
        <f t="shared" si="14"/>
        <v>0</v>
      </c>
    </row>
    <row r="33" spans="1:10" x14ac:dyDescent="0.35">
      <c r="A33" s="26"/>
      <c r="B33" s="26"/>
      <c r="C33" s="262">
        <f t="shared" si="10"/>
        <v>0</v>
      </c>
      <c r="D33" s="262">
        <v>8.1</v>
      </c>
      <c r="E33" s="262">
        <v>15.458761480403748</v>
      </c>
      <c r="F33" s="262">
        <f t="shared" si="11"/>
        <v>0</v>
      </c>
      <c r="G33" s="262">
        <f t="shared" si="12"/>
        <v>0</v>
      </c>
      <c r="H33" s="26">
        <v>3</v>
      </c>
      <c r="I33" s="262">
        <f t="shared" si="13"/>
        <v>0</v>
      </c>
      <c r="J33" s="262">
        <f t="shared" si="14"/>
        <v>0</v>
      </c>
    </row>
    <row r="34" spans="1:10" x14ac:dyDescent="0.35">
      <c r="A34" s="26"/>
      <c r="B34" s="26"/>
      <c r="C34" s="262">
        <f t="shared" si="10"/>
        <v>0</v>
      </c>
      <c r="D34" s="262">
        <v>9.1</v>
      </c>
      <c r="E34" s="262">
        <v>17.425206874602161</v>
      </c>
      <c r="F34" s="262">
        <f t="shared" si="11"/>
        <v>0</v>
      </c>
      <c r="G34" s="262">
        <f t="shared" si="12"/>
        <v>0</v>
      </c>
      <c r="H34" s="26">
        <v>3</v>
      </c>
      <c r="I34" s="262">
        <f t="shared" si="13"/>
        <v>0</v>
      </c>
      <c r="J34" s="262">
        <f t="shared" si="14"/>
        <v>0</v>
      </c>
    </row>
    <row r="35" spans="1:10" x14ac:dyDescent="0.35">
      <c r="A35" s="26"/>
      <c r="B35" s="26"/>
      <c r="C35" s="262">
        <f t="shared" si="10"/>
        <v>0</v>
      </c>
      <c r="D35" s="262">
        <v>10</v>
      </c>
      <c r="E35" s="262">
        <v>19.237569842280219</v>
      </c>
      <c r="F35" s="262">
        <f t="shared" si="11"/>
        <v>0</v>
      </c>
      <c r="G35" s="262">
        <f t="shared" si="12"/>
        <v>0</v>
      </c>
      <c r="H35" s="26">
        <v>3</v>
      </c>
      <c r="I35" s="262">
        <f t="shared" si="13"/>
        <v>0</v>
      </c>
      <c r="J35" s="262">
        <f t="shared" si="14"/>
        <v>0</v>
      </c>
    </row>
    <row r="36" spans="1:10" x14ac:dyDescent="0.35">
      <c r="A36" s="26"/>
      <c r="B36" s="26"/>
      <c r="C36" s="262">
        <f t="shared" si="10"/>
        <v>0</v>
      </c>
      <c r="D36" s="262">
        <v>11</v>
      </c>
      <c r="E36" s="262">
        <v>21.260343730108211</v>
      </c>
      <c r="F36" s="262">
        <f t="shared" si="11"/>
        <v>0</v>
      </c>
      <c r="G36" s="262">
        <f t="shared" si="12"/>
        <v>0</v>
      </c>
      <c r="H36" s="26">
        <v>3</v>
      </c>
      <c r="I36" s="262">
        <f t="shared" si="13"/>
        <v>0</v>
      </c>
      <c r="J36" s="262">
        <f t="shared" si="14"/>
        <v>0</v>
      </c>
    </row>
    <row r="37" spans="1:10" x14ac:dyDescent="0.35">
      <c r="A37" s="26"/>
      <c r="B37" s="26"/>
      <c r="C37" s="262">
        <f t="shared" si="10"/>
        <v>0</v>
      </c>
      <c r="D37" s="262">
        <v>13</v>
      </c>
      <c r="E37" s="262">
        <v>25.249310417992788</v>
      </c>
      <c r="F37" s="262">
        <f t="shared" si="11"/>
        <v>0</v>
      </c>
      <c r="G37" s="262">
        <f t="shared" si="12"/>
        <v>0</v>
      </c>
      <c r="H37" s="26">
        <v>3</v>
      </c>
      <c r="I37" s="262">
        <f t="shared" si="13"/>
        <v>0</v>
      </c>
      <c r="J37" s="262">
        <f t="shared" si="14"/>
        <v>0</v>
      </c>
    </row>
    <row r="38" spans="1:10" x14ac:dyDescent="0.35">
      <c r="A38" s="26"/>
      <c r="B38" s="26"/>
      <c r="C38" s="262">
        <f t="shared" si="10"/>
        <v>0</v>
      </c>
      <c r="D38" s="262">
        <v>14.7</v>
      </c>
      <c r="E38" s="262">
        <v>28.644175684277531</v>
      </c>
      <c r="F38" s="262">
        <f t="shared" si="11"/>
        <v>0</v>
      </c>
      <c r="G38" s="262">
        <f t="shared" si="12"/>
        <v>0</v>
      </c>
      <c r="H38" s="26">
        <v>3</v>
      </c>
      <c r="I38" s="262">
        <f t="shared" si="13"/>
        <v>0</v>
      </c>
      <c r="J38" s="262">
        <f t="shared" si="14"/>
        <v>0</v>
      </c>
    </row>
    <row r="39" spans="1:10" x14ac:dyDescent="0.35">
      <c r="A39" s="26"/>
      <c r="B39" s="26"/>
      <c r="C39" s="262">
        <f t="shared" si="10"/>
        <v>0</v>
      </c>
      <c r="D39" s="262">
        <v>16.600000000000001</v>
      </c>
      <c r="E39" s="262">
        <v>32.46339910884786</v>
      </c>
      <c r="F39" s="262">
        <f t="shared" si="11"/>
        <v>0</v>
      </c>
      <c r="G39" s="262">
        <f t="shared" si="12"/>
        <v>0</v>
      </c>
      <c r="H39" s="26">
        <v>3</v>
      </c>
      <c r="I39" s="262">
        <f t="shared" si="13"/>
        <v>0</v>
      </c>
      <c r="J39" s="262">
        <f t="shared" si="14"/>
        <v>0</v>
      </c>
    </row>
    <row r="40" spans="1:10" x14ac:dyDescent="0.35">
      <c r="A40" s="26"/>
      <c r="B40" s="26"/>
      <c r="C40" s="262">
        <f t="shared" si="10"/>
        <v>0</v>
      </c>
      <c r="D40" s="262">
        <v>18.5</v>
      </c>
      <c r="E40" s="262">
        <v>36.247259353561077</v>
      </c>
      <c r="F40" s="262">
        <f t="shared" si="11"/>
        <v>0</v>
      </c>
      <c r="G40" s="262">
        <f t="shared" si="12"/>
        <v>0</v>
      </c>
      <c r="H40" s="26">
        <v>3</v>
      </c>
      <c r="I40" s="262">
        <f t="shared" si="13"/>
        <v>0</v>
      </c>
      <c r="J40" s="262">
        <f t="shared" si="14"/>
        <v>0</v>
      </c>
    </row>
    <row r="41" spans="1:10" x14ac:dyDescent="0.35">
      <c r="A41" s="26"/>
      <c r="B41" s="26"/>
      <c r="C41" s="262">
        <f t="shared" si="10"/>
        <v>0</v>
      </c>
      <c r="D41" s="262">
        <v>20.399999999999999</v>
      </c>
      <c r="E41" s="262">
        <v>40.038192234245706</v>
      </c>
      <c r="F41" s="262">
        <f t="shared" si="11"/>
        <v>0</v>
      </c>
      <c r="G41" s="262">
        <f t="shared" si="12"/>
        <v>0</v>
      </c>
      <c r="H41" s="26">
        <v>3</v>
      </c>
      <c r="I41" s="262">
        <f t="shared" si="13"/>
        <v>0</v>
      </c>
      <c r="J41" s="262">
        <f t="shared" si="14"/>
        <v>0</v>
      </c>
    </row>
  </sheetData>
  <sheetProtection algorithmName="SHA-512" hashValue="NENL41k/ZCzrydtH5RH8TyMTrNDMPiVFuvTgCxmoi/gAWMvJ7WLus+D3YRMSNPK2MBVKI2dM57HHez74bBA0oA==" saltValue="OkV+RjqzHHh/7z9lIYx3Dw==" spinCount="100000" sheet="1" objects="1" scenarios="1"/>
  <mergeCells count="3">
    <mergeCell ref="A2:J2"/>
    <mergeCell ref="A13:J13"/>
    <mergeCell ref="A28:J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57"/>
  <sheetViews>
    <sheetView workbookViewId="0">
      <selection activeCell="I5" sqref="I5"/>
    </sheetView>
  </sheetViews>
  <sheetFormatPr defaultRowHeight="14.5" x14ac:dyDescent="0.35"/>
  <cols>
    <col min="3" max="3" width="13.1796875" customWidth="1"/>
    <col min="4" max="4" width="13.54296875" customWidth="1"/>
    <col min="9" max="9" width="10.453125" customWidth="1"/>
    <col min="10" max="10" width="12.1796875" customWidth="1"/>
    <col min="13" max="13" width="16.7265625" customWidth="1"/>
    <col min="16" max="16" width="13.81640625" customWidth="1"/>
    <col min="19" max="19" width="16.453125" customWidth="1"/>
    <col min="22" max="22" width="11.81640625" customWidth="1"/>
  </cols>
  <sheetData>
    <row r="1" spans="2:18" ht="62" thickBot="1" x14ac:dyDescent="1.4">
      <c r="B1" s="334" t="s">
        <v>147</v>
      </c>
      <c r="C1" s="334"/>
      <c r="D1" s="334"/>
      <c r="E1" s="334"/>
      <c r="F1" s="334"/>
      <c r="H1" s="334" t="s">
        <v>158</v>
      </c>
      <c r="I1" s="334"/>
      <c r="J1" s="334"/>
      <c r="K1" s="334"/>
      <c r="L1" s="334"/>
      <c r="N1" s="334" t="s">
        <v>161</v>
      </c>
      <c r="O1" s="334"/>
      <c r="P1" s="334"/>
      <c r="Q1" s="334"/>
      <c r="R1" s="334"/>
    </row>
    <row r="2" spans="2:18" ht="15.5" thickTop="1" thickBot="1" x14ac:dyDescent="0.4">
      <c r="B2" s="335" t="s">
        <v>162</v>
      </c>
      <c r="C2" s="335"/>
      <c r="D2" s="335"/>
      <c r="E2" s="335"/>
      <c r="F2" s="335"/>
      <c r="H2" s="336" t="s">
        <v>162</v>
      </c>
      <c r="I2" s="336"/>
      <c r="J2" s="336"/>
      <c r="K2" s="336"/>
      <c r="L2" s="336"/>
      <c r="N2" s="336" t="s">
        <v>162</v>
      </c>
      <c r="O2" s="336"/>
      <c r="P2" s="336"/>
      <c r="Q2" s="336"/>
      <c r="R2" s="336"/>
    </row>
    <row r="3" spans="2:18" ht="88" thickTop="1" thickBot="1" x14ac:dyDescent="0.4">
      <c r="B3" s="28" t="s">
        <v>163</v>
      </c>
      <c r="C3" s="29" t="s">
        <v>151</v>
      </c>
      <c r="D3" s="29" t="s">
        <v>164</v>
      </c>
      <c r="E3" s="30" t="s">
        <v>165</v>
      </c>
      <c r="F3" s="29" t="s">
        <v>166</v>
      </c>
      <c r="H3" s="31" t="s">
        <v>163</v>
      </c>
      <c r="I3" s="32" t="s">
        <v>151</v>
      </c>
      <c r="J3" s="32" t="s">
        <v>164</v>
      </c>
      <c r="K3" s="31" t="s">
        <v>165</v>
      </c>
      <c r="L3" s="32" t="s">
        <v>166</v>
      </c>
      <c r="N3" s="31" t="s">
        <v>163</v>
      </c>
      <c r="O3" s="32" t="s">
        <v>151</v>
      </c>
      <c r="P3" s="32" t="s">
        <v>164</v>
      </c>
      <c r="Q3" s="31" t="s">
        <v>165</v>
      </c>
      <c r="R3" s="32" t="s">
        <v>166</v>
      </c>
    </row>
    <row r="4" spans="2:18" ht="15" thickTop="1" x14ac:dyDescent="0.35">
      <c r="B4" s="33">
        <v>0.1</v>
      </c>
      <c r="C4" s="34">
        <v>4</v>
      </c>
      <c r="D4" s="7">
        <v>2.2999999999999998</v>
      </c>
      <c r="E4" s="7">
        <f t="shared" ref="E4:E18" si="0">B4*3.142</f>
        <v>0.31420000000000003</v>
      </c>
      <c r="F4" s="34">
        <f t="shared" ref="F4:F18" si="1">D4/E4</f>
        <v>7.3201782304264782</v>
      </c>
      <c r="H4" s="7">
        <v>0.1</v>
      </c>
      <c r="I4" s="34">
        <v>4</v>
      </c>
      <c r="J4" s="7">
        <v>2.2999999999999998</v>
      </c>
      <c r="K4" s="7">
        <f t="shared" ref="K4:K18" si="2">H4*3.142</f>
        <v>0.31420000000000003</v>
      </c>
      <c r="L4" s="34">
        <f t="shared" ref="L4:L18" si="3">J4/K4</f>
        <v>7.3201782304264782</v>
      </c>
      <c r="M4" s="5"/>
      <c r="N4" s="7">
        <v>0.1</v>
      </c>
      <c r="O4" s="34">
        <v>4</v>
      </c>
      <c r="P4" s="7">
        <v>2.2999999999999998</v>
      </c>
      <c r="Q4" s="7">
        <f t="shared" ref="Q4:Q18" si="4">N4*3.142</f>
        <v>0.31420000000000003</v>
      </c>
      <c r="R4" s="34">
        <f t="shared" ref="R4:R18" si="5">P4/Q4</f>
        <v>7.3201782304264782</v>
      </c>
    </row>
    <row r="5" spans="2:18" x14ac:dyDescent="0.35">
      <c r="B5" s="33">
        <v>0.125</v>
      </c>
      <c r="C5" s="34">
        <v>4</v>
      </c>
      <c r="D5" s="7">
        <v>2.8</v>
      </c>
      <c r="E5" s="7">
        <f t="shared" si="0"/>
        <v>0.39274999999999999</v>
      </c>
      <c r="F5" s="34">
        <f t="shared" si="1"/>
        <v>7.1292170591979627</v>
      </c>
      <c r="H5" s="7">
        <v>0.125</v>
      </c>
      <c r="I5" s="34">
        <v>4</v>
      </c>
      <c r="J5" s="7">
        <v>2.8</v>
      </c>
      <c r="K5" s="7">
        <f t="shared" si="2"/>
        <v>0.39274999999999999</v>
      </c>
      <c r="L5" s="34">
        <f t="shared" si="3"/>
        <v>7.1292170591979627</v>
      </c>
      <c r="M5" s="5"/>
      <c r="N5" s="7">
        <v>0.125</v>
      </c>
      <c r="O5" s="34">
        <v>4</v>
      </c>
      <c r="P5" s="7">
        <v>2.8</v>
      </c>
      <c r="Q5" s="7">
        <f t="shared" si="4"/>
        <v>0.39274999999999999</v>
      </c>
      <c r="R5" s="34">
        <f t="shared" si="5"/>
        <v>7.1292170591979627</v>
      </c>
    </row>
    <row r="6" spans="2:18" x14ac:dyDescent="0.35">
      <c r="B6" s="33">
        <v>0.15</v>
      </c>
      <c r="C6" s="34">
        <v>4</v>
      </c>
      <c r="D6" s="7">
        <v>3.4</v>
      </c>
      <c r="E6" s="7">
        <f t="shared" si="0"/>
        <v>0.47129999999999994</v>
      </c>
      <c r="F6" s="34">
        <f t="shared" si="1"/>
        <v>7.2140886908550828</v>
      </c>
      <c r="H6" s="7">
        <v>0.15</v>
      </c>
      <c r="I6" s="34">
        <v>4</v>
      </c>
      <c r="J6" s="7">
        <v>3.4</v>
      </c>
      <c r="K6" s="7">
        <f t="shared" si="2"/>
        <v>0.47129999999999994</v>
      </c>
      <c r="L6" s="34">
        <f t="shared" si="3"/>
        <v>7.2140886908550828</v>
      </c>
      <c r="M6" s="5"/>
      <c r="N6" s="7">
        <v>0.15</v>
      </c>
      <c r="O6" s="34">
        <v>4.3</v>
      </c>
      <c r="P6" s="7">
        <v>3.6</v>
      </c>
      <c r="Q6" s="7">
        <f t="shared" si="4"/>
        <v>0.47129999999999994</v>
      </c>
      <c r="R6" s="34">
        <f t="shared" si="5"/>
        <v>7.6384468491406761</v>
      </c>
    </row>
    <row r="7" spans="2:18" x14ac:dyDescent="0.35">
      <c r="B7" s="33">
        <v>0.2</v>
      </c>
      <c r="C7" s="34">
        <v>4</v>
      </c>
      <c r="D7" s="7">
        <v>4.5999999999999996</v>
      </c>
      <c r="E7" s="7">
        <f t="shared" si="0"/>
        <v>0.62840000000000007</v>
      </c>
      <c r="F7" s="34">
        <f t="shared" si="1"/>
        <v>7.3201782304264782</v>
      </c>
      <c r="H7" s="7">
        <v>0.2</v>
      </c>
      <c r="I7" s="34">
        <v>4</v>
      </c>
      <c r="J7" s="7">
        <v>4.5999999999999996</v>
      </c>
      <c r="K7" s="7">
        <f t="shared" si="2"/>
        <v>0.62840000000000007</v>
      </c>
      <c r="L7" s="34">
        <f t="shared" si="3"/>
        <v>7.3201782304264782</v>
      </c>
      <c r="M7" s="5"/>
      <c r="N7" s="7">
        <v>0.2</v>
      </c>
      <c r="O7" s="34">
        <v>5.3</v>
      </c>
      <c r="P7" s="7">
        <v>6.2</v>
      </c>
      <c r="Q7" s="7">
        <f t="shared" si="4"/>
        <v>0.62840000000000007</v>
      </c>
      <c r="R7" s="34">
        <f t="shared" si="5"/>
        <v>9.8663271801400381</v>
      </c>
    </row>
    <row r="8" spans="2:18" x14ac:dyDescent="0.35">
      <c r="B8" s="33">
        <v>0.25</v>
      </c>
      <c r="C8" s="34">
        <v>4</v>
      </c>
      <c r="D8" s="7">
        <v>5.7</v>
      </c>
      <c r="E8" s="7">
        <f t="shared" si="0"/>
        <v>0.78549999999999998</v>
      </c>
      <c r="F8" s="34">
        <f t="shared" si="1"/>
        <v>7.2565245066836415</v>
      </c>
      <c r="H8" s="7">
        <v>0.25</v>
      </c>
      <c r="I8" s="34">
        <v>4.5</v>
      </c>
      <c r="J8" s="7">
        <v>6.5</v>
      </c>
      <c r="K8" s="7">
        <f t="shared" si="2"/>
        <v>0.78549999999999998</v>
      </c>
      <c r="L8" s="34">
        <f t="shared" si="3"/>
        <v>8.2749840865690647</v>
      </c>
      <c r="M8" s="5"/>
      <c r="N8" s="7">
        <v>0.25</v>
      </c>
      <c r="O8" s="34">
        <v>6.2</v>
      </c>
      <c r="P8" s="7">
        <v>9.1</v>
      </c>
      <c r="Q8" s="7">
        <f t="shared" si="4"/>
        <v>0.78549999999999998</v>
      </c>
      <c r="R8" s="34">
        <f t="shared" si="5"/>
        <v>11.58497772119669</v>
      </c>
    </row>
    <row r="9" spans="2:18" x14ac:dyDescent="0.35">
      <c r="B9" s="33">
        <v>0.3</v>
      </c>
      <c r="C9" s="34">
        <v>4</v>
      </c>
      <c r="D9" s="7">
        <v>6.8</v>
      </c>
      <c r="E9" s="7">
        <f t="shared" si="0"/>
        <v>0.94259999999999988</v>
      </c>
      <c r="F9" s="34">
        <f t="shared" si="1"/>
        <v>7.2140886908550828</v>
      </c>
      <c r="H9" s="7">
        <v>0.3</v>
      </c>
      <c r="I9" s="34">
        <v>5.0999999999999996</v>
      </c>
      <c r="J9" s="7">
        <v>8.9</v>
      </c>
      <c r="K9" s="7">
        <f t="shared" si="2"/>
        <v>0.94259999999999988</v>
      </c>
      <c r="L9" s="34">
        <f t="shared" si="3"/>
        <v>9.4419690218544474</v>
      </c>
      <c r="M9" s="5"/>
      <c r="N9" s="7">
        <v>0.3</v>
      </c>
      <c r="O9" s="34">
        <v>7.2</v>
      </c>
      <c r="P9" s="7">
        <v>12.9</v>
      </c>
      <c r="Q9" s="7">
        <f t="shared" si="4"/>
        <v>0.94259999999999988</v>
      </c>
      <c r="R9" s="34">
        <f t="shared" si="5"/>
        <v>13.685550604710377</v>
      </c>
    </row>
    <row r="10" spans="2:18" x14ac:dyDescent="0.35">
      <c r="B10" s="33">
        <v>0.35</v>
      </c>
      <c r="C10" s="34">
        <v>4</v>
      </c>
      <c r="D10" s="7">
        <v>8</v>
      </c>
      <c r="E10" s="7">
        <f t="shared" si="0"/>
        <v>1.0996999999999999</v>
      </c>
      <c r="F10" s="34">
        <f t="shared" si="1"/>
        <v>7.274711284895881</v>
      </c>
      <c r="H10" s="7">
        <v>0.35</v>
      </c>
      <c r="I10" s="34">
        <v>5.7</v>
      </c>
      <c r="J10" s="7">
        <v>11.7</v>
      </c>
      <c r="K10" s="7">
        <f t="shared" si="2"/>
        <v>1.0996999999999999</v>
      </c>
      <c r="L10" s="34">
        <f t="shared" si="3"/>
        <v>10.639265254160225</v>
      </c>
      <c r="M10" s="5"/>
      <c r="N10" s="7">
        <v>0.35</v>
      </c>
      <c r="O10" s="34">
        <v>8.1</v>
      </c>
      <c r="P10" s="7">
        <v>17</v>
      </c>
      <c r="Q10" s="7">
        <f t="shared" si="4"/>
        <v>1.0996999999999999</v>
      </c>
      <c r="R10" s="34">
        <f t="shared" si="5"/>
        <v>15.458761480403748</v>
      </c>
    </row>
    <row r="11" spans="2:18" x14ac:dyDescent="0.35">
      <c r="B11" s="33">
        <v>0.4</v>
      </c>
      <c r="C11" s="34">
        <v>4.4000000000000004</v>
      </c>
      <c r="D11" s="7">
        <v>10.1</v>
      </c>
      <c r="E11" s="7">
        <f t="shared" si="0"/>
        <v>1.2568000000000001</v>
      </c>
      <c r="F11" s="34">
        <f t="shared" si="1"/>
        <v>8.0362826225334167</v>
      </c>
      <c r="H11" s="7">
        <v>0.4</v>
      </c>
      <c r="I11" s="34">
        <v>6.3</v>
      </c>
      <c r="J11" s="7">
        <v>14.7</v>
      </c>
      <c r="K11" s="7">
        <f t="shared" si="2"/>
        <v>1.2568000000000001</v>
      </c>
      <c r="L11" s="34">
        <f t="shared" si="3"/>
        <v>11.696371737746656</v>
      </c>
      <c r="M11" s="5"/>
      <c r="N11" s="7">
        <v>0.4</v>
      </c>
      <c r="O11" s="34">
        <v>9.1</v>
      </c>
      <c r="P11" s="7">
        <v>21.9</v>
      </c>
      <c r="Q11" s="7">
        <f t="shared" si="4"/>
        <v>1.2568000000000001</v>
      </c>
      <c r="R11" s="34">
        <f t="shared" si="5"/>
        <v>17.425206874602161</v>
      </c>
    </row>
    <row r="12" spans="2:18" x14ac:dyDescent="0.35">
      <c r="B12" s="33">
        <v>0.45</v>
      </c>
      <c r="C12" s="34">
        <v>4.7</v>
      </c>
      <c r="D12" s="7">
        <v>12.2</v>
      </c>
      <c r="E12" s="7">
        <f t="shared" si="0"/>
        <v>1.4138999999999999</v>
      </c>
      <c r="F12" s="34">
        <f t="shared" si="1"/>
        <v>8.6286158851403911</v>
      </c>
      <c r="H12" s="7">
        <v>0.45</v>
      </c>
      <c r="I12" s="34">
        <v>6.8</v>
      </c>
      <c r="J12" s="7">
        <v>18.2</v>
      </c>
      <c r="K12" s="7">
        <f t="shared" si="2"/>
        <v>1.4138999999999999</v>
      </c>
      <c r="L12" s="34">
        <f t="shared" si="3"/>
        <v>12.872197467996322</v>
      </c>
      <c r="M12" s="5"/>
      <c r="N12" s="7">
        <v>0.45</v>
      </c>
      <c r="O12" s="34">
        <v>10</v>
      </c>
      <c r="P12" s="7">
        <v>27.2</v>
      </c>
      <c r="Q12" s="7">
        <f t="shared" si="4"/>
        <v>1.4138999999999999</v>
      </c>
      <c r="R12" s="34">
        <f t="shared" si="5"/>
        <v>19.237569842280219</v>
      </c>
    </row>
    <row r="13" spans="2:18" x14ac:dyDescent="0.35">
      <c r="B13" s="33">
        <v>0.5</v>
      </c>
      <c r="C13" s="34">
        <v>5.0999999999999996</v>
      </c>
      <c r="D13" s="7">
        <v>14.8</v>
      </c>
      <c r="E13" s="7">
        <f t="shared" si="0"/>
        <v>1.571</v>
      </c>
      <c r="F13" s="34">
        <f t="shared" si="1"/>
        <v>9.4207511139401667</v>
      </c>
      <c r="H13" s="7">
        <v>0.5</v>
      </c>
      <c r="I13" s="34">
        <v>7.4</v>
      </c>
      <c r="J13" s="7">
        <v>22.1</v>
      </c>
      <c r="K13" s="7">
        <f t="shared" si="2"/>
        <v>1.571</v>
      </c>
      <c r="L13" s="34">
        <f t="shared" si="3"/>
        <v>14.06747294716741</v>
      </c>
      <c r="M13" s="5"/>
      <c r="N13" s="7">
        <v>0.5</v>
      </c>
      <c r="O13" s="34">
        <v>11</v>
      </c>
      <c r="P13" s="7">
        <v>33.4</v>
      </c>
      <c r="Q13" s="7">
        <f t="shared" si="4"/>
        <v>1.571</v>
      </c>
      <c r="R13" s="34">
        <f t="shared" si="5"/>
        <v>21.260343730108211</v>
      </c>
    </row>
    <row r="14" spans="2:18" x14ac:dyDescent="0.35">
      <c r="B14" s="35">
        <v>0.6</v>
      </c>
      <c r="C14" s="34">
        <v>6</v>
      </c>
      <c r="D14" s="7">
        <v>21.2</v>
      </c>
      <c r="E14" s="7">
        <f t="shared" si="0"/>
        <v>1.8851999999999998</v>
      </c>
      <c r="F14" s="34">
        <f t="shared" si="1"/>
        <v>11.245491194568217</v>
      </c>
      <c r="H14" s="7">
        <v>0.6</v>
      </c>
      <c r="I14" s="34">
        <v>8.6999999999999993</v>
      </c>
      <c r="J14" s="7">
        <v>30.9</v>
      </c>
      <c r="K14" s="7">
        <f t="shared" si="2"/>
        <v>1.8851999999999998</v>
      </c>
      <c r="L14" s="34">
        <f t="shared" si="3"/>
        <v>16.390833863781033</v>
      </c>
      <c r="M14" s="5"/>
      <c r="N14" s="7">
        <v>0.6</v>
      </c>
      <c r="O14" s="34">
        <v>13</v>
      </c>
      <c r="P14" s="7">
        <v>47.6</v>
      </c>
      <c r="Q14" s="7">
        <f t="shared" si="4"/>
        <v>1.8851999999999998</v>
      </c>
      <c r="R14" s="34">
        <f t="shared" si="5"/>
        <v>25.249310417992788</v>
      </c>
    </row>
    <row r="15" spans="2:18" x14ac:dyDescent="0.35">
      <c r="B15" s="35">
        <v>0.7</v>
      </c>
      <c r="C15" s="34">
        <v>6.5</v>
      </c>
      <c r="D15" s="7">
        <v>26.9</v>
      </c>
      <c r="E15" s="7">
        <f t="shared" si="0"/>
        <v>2.1993999999999998</v>
      </c>
      <c r="F15" s="34">
        <f t="shared" si="1"/>
        <v>12.2306083477312</v>
      </c>
      <c r="H15" s="7">
        <v>0.7</v>
      </c>
      <c r="I15" s="34">
        <v>9.8000000000000007</v>
      </c>
      <c r="J15" s="7">
        <v>41.5</v>
      </c>
      <c r="K15" s="7">
        <f t="shared" si="2"/>
        <v>2.1993999999999998</v>
      </c>
      <c r="L15" s="34">
        <f t="shared" si="3"/>
        <v>18.868782395198693</v>
      </c>
      <c r="M15" s="5"/>
      <c r="N15" s="7">
        <v>0.7</v>
      </c>
      <c r="O15" s="34">
        <v>14.7</v>
      </c>
      <c r="P15" s="7">
        <v>63</v>
      </c>
      <c r="Q15" s="7">
        <f t="shared" si="4"/>
        <v>2.1993999999999998</v>
      </c>
      <c r="R15" s="34">
        <f t="shared" si="5"/>
        <v>28.644175684277531</v>
      </c>
    </row>
    <row r="16" spans="2:18" x14ac:dyDescent="0.35">
      <c r="B16" s="35">
        <v>0.8</v>
      </c>
      <c r="C16" s="34">
        <v>7.2</v>
      </c>
      <c r="D16" s="7">
        <v>34.299999999999997</v>
      </c>
      <c r="E16" s="7">
        <f t="shared" si="0"/>
        <v>2.5136000000000003</v>
      </c>
      <c r="F16" s="34">
        <f t="shared" si="1"/>
        <v>13.645767027371098</v>
      </c>
      <c r="H16" s="7">
        <v>0.8</v>
      </c>
      <c r="I16" s="34">
        <v>10.9</v>
      </c>
      <c r="J16" s="7">
        <v>52.9</v>
      </c>
      <c r="K16" s="7">
        <f t="shared" si="2"/>
        <v>2.5136000000000003</v>
      </c>
      <c r="L16" s="34">
        <f t="shared" si="3"/>
        <v>21.045512412476128</v>
      </c>
      <c r="M16" s="5"/>
      <c r="N16" s="7">
        <v>0.8</v>
      </c>
      <c r="O16" s="34">
        <v>16.600000000000001</v>
      </c>
      <c r="P16" s="7">
        <v>81.599999999999994</v>
      </c>
      <c r="Q16" s="7">
        <f t="shared" si="4"/>
        <v>2.5136000000000003</v>
      </c>
      <c r="R16" s="34">
        <f t="shared" si="5"/>
        <v>32.46339910884786</v>
      </c>
    </row>
    <row r="17" spans="2:18" x14ac:dyDescent="0.35">
      <c r="B17" s="35">
        <v>0.9</v>
      </c>
      <c r="C17" s="34">
        <v>7.9</v>
      </c>
      <c r="D17" s="7">
        <v>42.6</v>
      </c>
      <c r="E17" s="7">
        <f t="shared" si="0"/>
        <v>2.8277999999999999</v>
      </c>
      <c r="F17" s="34">
        <f t="shared" si="1"/>
        <v>15.064714619138554</v>
      </c>
      <c r="H17" s="7">
        <v>0.9</v>
      </c>
      <c r="I17" s="34">
        <v>12.1</v>
      </c>
      <c r="J17" s="7">
        <v>66.3</v>
      </c>
      <c r="K17" s="7">
        <f t="shared" si="2"/>
        <v>2.8277999999999999</v>
      </c>
      <c r="L17" s="34">
        <f t="shared" si="3"/>
        <v>23.445788245279015</v>
      </c>
      <c r="M17" s="5"/>
      <c r="N17" s="7">
        <v>0.9</v>
      </c>
      <c r="O17" s="34">
        <v>18.5</v>
      </c>
      <c r="P17" s="7">
        <v>102.5</v>
      </c>
      <c r="Q17" s="7">
        <f t="shared" si="4"/>
        <v>2.8277999999999999</v>
      </c>
      <c r="R17" s="34">
        <f t="shared" si="5"/>
        <v>36.247259353561077</v>
      </c>
    </row>
    <row r="18" spans="2:18" x14ac:dyDescent="0.35">
      <c r="B18" s="35">
        <v>1</v>
      </c>
      <c r="C18" s="34">
        <v>8.6</v>
      </c>
      <c r="D18" s="7">
        <v>51.7</v>
      </c>
      <c r="E18" s="7">
        <f t="shared" si="0"/>
        <v>3.1419999999999999</v>
      </c>
      <c r="F18" s="34">
        <f t="shared" si="1"/>
        <v>16.454487587523872</v>
      </c>
      <c r="H18" s="7">
        <v>1</v>
      </c>
      <c r="I18" s="34">
        <v>13.3</v>
      </c>
      <c r="J18" s="7">
        <v>81.2</v>
      </c>
      <c r="K18" s="7">
        <f t="shared" si="2"/>
        <v>3.1419999999999999</v>
      </c>
      <c r="L18" s="34">
        <f t="shared" si="3"/>
        <v>25.843411839592619</v>
      </c>
      <c r="M18" s="5"/>
      <c r="N18" s="7">
        <v>1</v>
      </c>
      <c r="O18" s="34">
        <v>20.399999999999999</v>
      </c>
      <c r="P18" s="7">
        <v>125.8</v>
      </c>
      <c r="Q18" s="7">
        <f t="shared" si="4"/>
        <v>3.1419999999999999</v>
      </c>
      <c r="R18" s="34">
        <f t="shared" si="5"/>
        <v>40.038192234245706</v>
      </c>
    </row>
    <row r="21" spans="2:18" ht="15" thickBot="1" x14ac:dyDescent="0.4"/>
    <row r="22" spans="2:18" ht="15.5" thickTop="1" thickBot="1" x14ac:dyDescent="0.4">
      <c r="E22" s="329" t="s">
        <v>167</v>
      </c>
      <c r="F22" s="329"/>
    </row>
    <row r="23" spans="2:18" ht="44.5" thickTop="1" thickBot="1" x14ac:dyDescent="0.4">
      <c r="B23" s="36" t="s">
        <v>168</v>
      </c>
      <c r="C23" s="36" t="s">
        <v>155</v>
      </c>
      <c r="D23" s="14"/>
      <c r="E23" s="37" t="s">
        <v>169</v>
      </c>
      <c r="F23" s="38" t="s">
        <v>151</v>
      </c>
    </row>
    <row r="24" spans="2:18" ht="15" thickTop="1" x14ac:dyDescent="0.35">
      <c r="B24" s="3" t="s">
        <v>170</v>
      </c>
      <c r="C24" s="3">
        <v>2.1</v>
      </c>
      <c r="E24" s="3">
        <v>0.1</v>
      </c>
      <c r="F24" s="3">
        <v>4</v>
      </c>
    </row>
    <row r="25" spans="2:18" x14ac:dyDescent="0.35">
      <c r="E25" s="3">
        <v>0.125</v>
      </c>
      <c r="F25" s="3">
        <v>4</v>
      </c>
    </row>
    <row r="26" spans="2:18" x14ac:dyDescent="0.35">
      <c r="E26" s="3">
        <v>0.15</v>
      </c>
      <c r="F26" s="3">
        <v>4</v>
      </c>
    </row>
    <row r="27" spans="2:18" x14ac:dyDescent="0.35">
      <c r="E27" s="3">
        <v>0.2</v>
      </c>
      <c r="F27" s="3">
        <v>4</v>
      </c>
    </row>
    <row r="28" spans="2:18" x14ac:dyDescent="0.35">
      <c r="E28" s="3">
        <v>0.25</v>
      </c>
      <c r="F28" s="3">
        <v>4</v>
      </c>
    </row>
    <row r="29" spans="2:18" x14ac:dyDescent="0.35">
      <c r="E29" s="3">
        <v>0.3</v>
      </c>
      <c r="F29" s="3">
        <v>4</v>
      </c>
    </row>
    <row r="30" spans="2:18" x14ac:dyDescent="0.35">
      <c r="E30" s="3">
        <v>0.35</v>
      </c>
      <c r="F30" s="3">
        <v>4</v>
      </c>
    </row>
    <row r="31" spans="2:18" x14ac:dyDescent="0.35">
      <c r="E31" s="3">
        <v>0.4</v>
      </c>
      <c r="F31" s="3">
        <v>4.4000000000000004</v>
      </c>
    </row>
    <row r="32" spans="2:18" x14ac:dyDescent="0.35">
      <c r="E32" s="3">
        <v>0.45</v>
      </c>
      <c r="F32" s="3">
        <v>4.7</v>
      </c>
    </row>
    <row r="33" spans="1:23" x14ac:dyDescent="0.35">
      <c r="E33" s="3">
        <v>0.5</v>
      </c>
      <c r="F33" s="3">
        <v>5.0999999999999996</v>
      </c>
    </row>
    <row r="34" spans="1:23" x14ac:dyDescent="0.35">
      <c r="E34" s="3">
        <v>0.6</v>
      </c>
      <c r="F34" s="3">
        <v>6</v>
      </c>
    </row>
    <row r="35" spans="1:23" x14ac:dyDescent="0.35">
      <c r="E35" s="3">
        <v>0.7</v>
      </c>
      <c r="F35" s="3">
        <v>6.5</v>
      </c>
    </row>
    <row r="36" spans="1:23" x14ac:dyDescent="0.35">
      <c r="E36" s="3">
        <v>0.8</v>
      </c>
      <c r="F36" s="3">
        <v>7.2</v>
      </c>
    </row>
    <row r="37" spans="1:23" x14ac:dyDescent="0.35">
      <c r="E37" s="3">
        <v>0.9</v>
      </c>
      <c r="F37" s="3">
        <v>7.9</v>
      </c>
    </row>
    <row r="38" spans="1:23" x14ac:dyDescent="0.35">
      <c r="E38" s="3">
        <v>1</v>
      </c>
      <c r="F38" s="3">
        <v>8.6</v>
      </c>
    </row>
    <row r="40" spans="1:23" ht="15" thickBot="1" x14ac:dyDescent="0.4"/>
    <row r="41" spans="1:23" x14ac:dyDescent="0.3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1"/>
    </row>
    <row r="42" spans="1:23" ht="15" thickBot="1" x14ac:dyDescent="0.4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4"/>
    </row>
    <row r="43" spans="1:23" ht="15.5" thickTop="1" thickBot="1" x14ac:dyDescent="0.4">
      <c r="A43" s="42"/>
      <c r="B43" s="330" t="s">
        <v>171</v>
      </c>
      <c r="C43" s="331"/>
      <c r="D43" s="332"/>
      <c r="E43" s="43"/>
      <c r="F43" s="45" t="s">
        <v>172</v>
      </c>
      <c r="G43" s="45"/>
      <c r="H43" s="43"/>
      <c r="I43" s="45" t="s">
        <v>173</v>
      </c>
      <c r="J43" s="45"/>
      <c r="K43" s="43"/>
      <c r="L43" s="45" t="s">
        <v>174</v>
      </c>
      <c r="M43" s="45"/>
      <c r="N43" s="43"/>
      <c r="O43" s="45" t="s">
        <v>175</v>
      </c>
      <c r="P43" s="45"/>
      <c r="Q43" s="43"/>
      <c r="R43" s="333" t="s">
        <v>176</v>
      </c>
      <c r="S43" s="333"/>
      <c r="T43" s="43"/>
      <c r="U43" s="45" t="s">
        <v>177</v>
      </c>
      <c r="V43" s="45"/>
      <c r="W43" s="44"/>
    </row>
    <row r="44" spans="1:23" ht="30" thickTop="1" thickBot="1" x14ac:dyDescent="0.4">
      <c r="A44" s="42"/>
      <c r="B44" s="46" t="s">
        <v>178</v>
      </c>
      <c r="C44" s="47" t="s">
        <v>179</v>
      </c>
      <c r="D44" s="46" t="s">
        <v>180</v>
      </c>
      <c r="E44" s="43"/>
      <c r="F44" s="45" t="s">
        <v>181</v>
      </c>
      <c r="G44" s="45"/>
      <c r="H44" s="43"/>
      <c r="I44" s="45" t="s">
        <v>178</v>
      </c>
      <c r="J44" s="45" t="s">
        <v>182</v>
      </c>
      <c r="K44" s="43"/>
      <c r="L44" s="45" t="s">
        <v>178</v>
      </c>
      <c r="M44" s="45" t="s">
        <v>182</v>
      </c>
      <c r="N44" s="43"/>
      <c r="O44" s="45" t="s">
        <v>178</v>
      </c>
      <c r="P44" s="45" t="s">
        <v>182</v>
      </c>
      <c r="Q44" s="43"/>
      <c r="R44" s="45" t="s">
        <v>178</v>
      </c>
      <c r="S44" s="45" t="s">
        <v>182</v>
      </c>
      <c r="T44" s="43"/>
      <c r="U44" s="45" t="s">
        <v>178</v>
      </c>
      <c r="V44" s="45" t="s">
        <v>182</v>
      </c>
      <c r="W44" s="44"/>
    </row>
    <row r="45" spans="1:23" ht="15" thickTop="1" x14ac:dyDescent="0.35">
      <c r="A45" s="42"/>
      <c r="B45" s="3">
        <v>0.6</v>
      </c>
      <c r="C45" s="3">
        <f>B45+0.4</f>
        <v>1</v>
      </c>
      <c r="D45" s="7">
        <f>((C45/2)*(C45/2))*3.142</f>
        <v>0.78549999999999998</v>
      </c>
      <c r="E45" s="43"/>
      <c r="F45" s="3">
        <v>0.6</v>
      </c>
      <c r="G45" s="35"/>
      <c r="H45" s="43"/>
      <c r="I45" s="3">
        <v>0.6</v>
      </c>
      <c r="J45" s="7">
        <f>D45</f>
        <v>0.78549999999999998</v>
      </c>
      <c r="K45" s="43"/>
      <c r="L45" s="3">
        <v>0.6</v>
      </c>
      <c r="M45" s="7">
        <f>(L45*3.142)*0.3</f>
        <v>0.56555999999999995</v>
      </c>
      <c r="N45" s="43"/>
      <c r="O45" s="3">
        <v>0.6</v>
      </c>
      <c r="P45" s="7">
        <f>(O45*3.142)*0.3</f>
        <v>0.56555999999999995</v>
      </c>
      <c r="Q45" s="43"/>
      <c r="R45" s="3">
        <v>0.6</v>
      </c>
      <c r="S45" s="7">
        <f>(R45*3.142)*0.3</f>
        <v>0.56555999999999995</v>
      </c>
      <c r="T45" s="43"/>
      <c r="U45" s="3">
        <v>0.6</v>
      </c>
      <c r="V45" s="7">
        <f>(U45*3.142)*0.6</f>
        <v>1.1311199999999999</v>
      </c>
      <c r="W45" s="44"/>
    </row>
    <row r="46" spans="1:23" x14ac:dyDescent="0.35">
      <c r="A46" s="42"/>
      <c r="B46" s="6">
        <v>0.8</v>
      </c>
      <c r="C46" s="3">
        <f t="shared" ref="C46:C55" si="6">B46+0.4</f>
        <v>1.2000000000000002</v>
      </c>
      <c r="D46" s="7">
        <f t="shared" ref="D46:D55" si="7">((C46/2)*(C46/2))*3.142</f>
        <v>1.1311200000000003</v>
      </c>
      <c r="E46" s="43"/>
      <c r="F46" s="6">
        <v>0.8</v>
      </c>
      <c r="G46" s="35"/>
      <c r="H46" s="43"/>
      <c r="I46" s="6">
        <v>0.8</v>
      </c>
      <c r="J46" s="7">
        <f t="shared" ref="J46:J55" si="8">D46</f>
        <v>1.1311200000000003</v>
      </c>
      <c r="K46" s="43"/>
      <c r="L46" s="6">
        <v>0.8</v>
      </c>
      <c r="M46" s="7">
        <f t="shared" ref="M46:M55" si="9">(L46*3.142)*0.3</f>
        <v>0.75408000000000008</v>
      </c>
      <c r="N46" s="43"/>
      <c r="O46" s="6">
        <v>0.8</v>
      </c>
      <c r="P46" s="7">
        <f t="shared" ref="P46:P55" si="10">(O46*3.142)*0.3</f>
        <v>0.75408000000000008</v>
      </c>
      <c r="Q46" s="43"/>
      <c r="R46" s="6">
        <v>0.8</v>
      </c>
      <c r="S46" s="7">
        <f t="shared" ref="S46:S55" si="11">(R46*3.142)*0.3</f>
        <v>0.75408000000000008</v>
      </c>
      <c r="T46" s="43"/>
      <c r="U46" s="3">
        <v>1.6</v>
      </c>
      <c r="V46" s="7">
        <f t="shared" ref="V46:V55" si="12">(U46*3.142)*0.6</f>
        <v>3.0163200000000003</v>
      </c>
      <c r="W46" s="44"/>
    </row>
    <row r="47" spans="1:23" x14ac:dyDescent="0.35">
      <c r="A47" s="42"/>
      <c r="B47" s="3">
        <v>0.9</v>
      </c>
      <c r="C47" s="3">
        <f t="shared" si="6"/>
        <v>1.3</v>
      </c>
      <c r="D47" s="7">
        <f t="shared" si="7"/>
        <v>1.3274950000000001</v>
      </c>
      <c r="E47" s="43"/>
      <c r="F47" s="3">
        <v>0.9</v>
      </c>
      <c r="G47" s="35"/>
      <c r="H47" s="43"/>
      <c r="I47" s="3">
        <v>0.9</v>
      </c>
      <c r="J47" s="7">
        <f t="shared" si="8"/>
        <v>1.3274950000000001</v>
      </c>
      <c r="K47" s="43"/>
      <c r="L47" s="3">
        <v>0.9</v>
      </c>
      <c r="M47" s="7">
        <f t="shared" si="9"/>
        <v>0.84833999999999998</v>
      </c>
      <c r="N47" s="43"/>
      <c r="O47" s="3">
        <v>0.9</v>
      </c>
      <c r="P47" s="7">
        <f t="shared" si="10"/>
        <v>0.84833999999999998</v>
      </c>
      <c r="Q47" s="43"/>
      <c r="R47" s="3">
        <v>0.9</v>
      </c>
      <c r="S47" s="7">
        <f t="shared" si="11"/>
        <v>0.84833999999999998</v>
      </c>
      <c r="T47" s="43"/>
      <c r="U47" s="3">
        <v>2.6</v>
      </c>
      <c r="V47" s="7">
        <f t="shared" si="12"/>
        <v>4.9015199999999997</v>
      </c>
      <c r="W47" s="44"/>
    </row>
    <row r="48" spans="1:23" x14ac:dyDescent="0.35">
      <c r="A48" s="42"/>
      <c r="B48" s="3">
        <v>1</v>
      </c>
      <c r="C48" s="3">
        <f t="shared" si="6"/>
        <v>1.4</v>
      </c>
      <c r="D48" s="7">
        <f t="shared" si="7"/>
        <v>1.5395799999999997</v>
      </c>
      <c r="E48" s="43"/>
      <c r="F48" s="3">
        <v>1</v>
      </c>
      <c r="G48" s="35"/>
      <c r="H48" s="43"/>
      <c r="I48" s="3">
        <v>1</v>
      </c>
      <c r="J48" s="7">
        <f t="shared" si="8"/>
        <v>1.5395799999999997</v>
      </c>
      <c r="K48" s="43"/>
      <c r="L48" s="3">
        <v>1</v>
      </c>
      <c r="M48" s="7">
        <f t="shared" si="9"/>
        <v>0.94259999999999988</v>
      </c>
      <c r="N48" s="43"/>
      <c r="O48" s="3">
        <v>1</v>
      </c>
      <c r="P48" s="7">
        <f t="shared" si="10"/>
        <v>0.94259999999999988</v>
      </c>
      <c r="Q48" s="43"/>
      <c r="R48" s="3">
        <v>1</v>
      </c>
      <c r="S48" s="7">
        <f t="shared" si="11"/>
        <v>0.94259999999999988</v>
      </c>
      <c r="T48" s="43"/>
      <c r="U48" s="3">
        <v>3.6</v>
      </c>
      <c r="V48" s="7">
        <f t="shared" si="12"/>
        <v>6.7867199999999999</v>
      </c>
      <c r="W48" s="44"/>
    </row>
    <row r="49" spans="1:23" x14ac:dyDescent="0.35">
      <c r="A49" s="42"/>
      <c r="B49" s="3">
        <v>1.2</v>
      </c>
      <c r="C49" s="3">
        <f t="shared" si="6"/>
        <v>1.6</v>
      </c>
      <c r="D49" s="7">
        <f t="shared" si="7"/>
        <v>2.0108800000000002</v>
      </c>
      <c r="E49" s="43"/>
      <c r="F49" s="3">
        <v>1.2</v>
      </c>
      <c r="G49" s="35"/>
      <c r="H49" s="43"/>
      <c r="I49" s="3">
        <v>1.2</v>
      </c>
      <c r="J49" s="7">
        <f t="shared" si="8"/>
        <v>2.0108800000000002</v>
      </c>
      <c r="K49" s="43"/>
      <c r="L49" s="3">
        <v>1.2</v>
      </c>
      <c r="M49" s="7">
        <f t="shared" si="9"/>
        <v>1.1311199999999999</v>
      </c>
      <c r="N49" s="43"/>
      <c r="O49" s="3">
        <v>1.2</v>
      </c>
      <c r="P49" s="7">
        <f t="shared" si="10"/>
        <v>1.1311199999999999</v>
      </c>
      <c r="Q49" s="43"/>
      <c r="R49" s="3">
        <v>1.2</v>
      </c>
      <c r="S49" s="7">
        <f t="shared" si="11"/>
        <v>1.1311199999999999</v>
      </c>
      <c r="T49" s="43"/>
      <c r="U49" s="3">
        <v>4.5999999999999996</v>
      </c>
      <c r="V49" s="7">
        <f t="shared" si="12"/>
        <v>8.6719199999999983</v>
      </c>
      <c r="W49" s="44"/>
    </row>
    <row r="50" spans="1:23" x14ac:dyDescent="0.35">
      <c r="A50" s="42"/>
      <c r="B50" s="3">
        <v>1.5</v>
      </c>
      <c r="C50" s="3">
        <f t="shared" si="6"/>
        <v>1.9</v>
      </c>
      <c r="D50" s="7">
        <f t="shared" si="7"/>
        <v>2.835655</v>
      </c>
      <c r="E50" s="43"/>
      <c r="F50" s="3">
        <v>1.5</v>
      </c>
      <c r="G50" s="35"/>
      <c r="H50" s="43"/>
      <c r="I50" s="3">
        <v>1.5</v>
      </c>
      <c r="J50" s="7">
        <f t="shared" si="8"/>
        <v>2.835655</v>
      </c>
      <c r="K50" s="43"/>
      <c r="L50" s="3">
        <v>1.5</v>
      </c>
      <c r="M50" s="7">
        <f t="shared" si="9"/>
        <v>1.4138999999999999</v>
      </c>
      <c r="N50" s="43"/>
      <c r="O50" s="3">
        <v>1.5</v>
      </c>
      <c r="P50" s="7">
        <f t="shared" si="10"/>
        <v>1.4138999999999999</v>
      </c>
      <c r="Q50" s="43"/>
      <c r="R50" s="3">
        <v>1.5</v>
      </c>
      <c r="S50" s="7">
        <f t="shared" si="11"/>
        <v>1.4138999999999999</v>
      </c>
      <c r="T50" s="43"/>
      <c r="U50" s="3">
        <v>5.6</v>
      </c>
      <c r="V50" s="7">
        <f t="shared" si="12"/>
        <v>10.557119999999999</v>
      </c>
      <c r="W50" s="44"/>
    </row>
    <row r="51" spans="1:23" x14ac:dyDescent="0.35">
      <c r="A51" s="42"/>
      <c r="B51" s="3">
        <v>1.8</v>
      </c>
      <c r="C51" s="3">
        <f t="shared" si="6"/>
        <v>2.2000000000000002</v>
      </c>
      <c r="D51" s="7">
        <f t="shared" si="7"/>
        <v>3.8018200000000006</v>
      </c>
      <c r="E51" s="43"/>
      <c r="F51" s="3">
        <v>1.8</v>
      </c>
      <c r="G51" s="35"/>
      <c r="H51" s="43"/>
      <c r="I51" s="3">
        <v>1.8</v>
      </c>
      <c r="J51" s="7">
        <f t="shared" si="8"/>
        <v>3.8018200000000006</v>
      </c>
      <c r="K51" s="43"/>
      <c r="L51" s="3">
        <v>1.8</v>
      </c>
      <c r="M51" s="7">
        <f t="shared" si="9"/>
        <v>1.69668</v>
      </c>
      <c r="N51" s="43"/>
      <c r="O51" s="3">
        <v>1.8</v>
      </c>
      <c r="P51" s="7">
        <f t="shared" si="10"/>
        <v>1.69668</v>
      </c>
      <c r="Q51" s="43"/>
      <c r="R51" s="3">
        <v>1.8</v>
      </c>
      <c r="S51" s="7">
        <f t="shared" si="11"/>
        <v>1.69668</v>
      </c>
      <c r="T51" s="43"/>
      <c r="U51" s="3">
        <v>6.6</v>
      </c>
      <c r="V51" s="7">
        <f t="shared" si="12"/>
        <v>12.442319999999999</v>
      </c>
      <c r="W51" s="44"/>
    </row>
    <row r="52" spans="1:23" x14ac:dyDescent="0.35">
      <c r="A52" s="42"/>
      <c r="B52" s="3">
        <v>2.1</v>
      </c>
      <c r="C52" s="3">
        <f t="shared" si="6"/>
        <v>2.5</v>
      </c>
      <c r="D52" s="7">
        <f t="shared" si="7"/>
        <v>4.9093749999999998</v>
      </c>
      <c r="E52" s="43"/>
      <c r="F52" s="3">
        <v>2.1</v>
      </c>
      <c r="G52" s="35"/>
      <c r="H52" s="43"/>
      <c r="I52" s="3">
        <v>2.1</v>
      </c>
      <c r="J52" s="7">
        <f t="shared" si="8"/>
        <v>4.9093749999999998</v>
      </c>
      <c r="K52" s="43"/>
      <c r="L52" s="3">
        <v>2.1</v>
      </c>
      <c r="M52" s="7">
        <f t="shared" si="9"/>
        <v>1.97946</v>
      </c>
      <c r="N52" s="43"/>
      <c r="O52" s="3">
        <v>2.1</v>
      </c>
      <c r="P52" s="7">
        <f t="shared" si="10"/>
        <v>1.97946</v>
      </c>
      <c r="Q52" s="43"/>
      <c r="R52" s="3">
        <v>2.1</v>
      </c>
      <c r="S52" s="7">
        <f t="shared" si="11"/>
        <v>1.97946</v>
      </c>
      <c r="T52" s="43"/>
      <c r="U52" s="3">
        <v>7.6</v>
      </c>
      <c r="V52" s="7">
        <f t="shared" si="12"/>
        <v>14.327519999999998</v>
      </c>
      <c r="W52" s="44"/>
    </row>
    <row r="53" spans="1:23" x14ac:dyDescent="0.35">
      <c r="A53" s="42"/>
      <c r="B53" s="3">
        <v>2.5</v>
      </c>
      <c r="C53" s="3">
        <f t="shared" si="6"/>
        <v>2.9</v>
      </c>
      <c r="D53" s="7">
        <f t="shared" si="7"/>
        <v>6.6060549999999996</v>
      </c>
      <c r="E53" s="43"/>
      <c r="F53" s="3">
        <v>2.5</v>
      </c>
      <c r="G53" s="35"/>
      <c r="H53" s="43"/>
      <c r="I53" s="3">
        <v>2.5</v>
      </c>
      <c r="J53" s="7">
        <f t="shared" si="8"/>
        <v>6.6060549999999996</v>
      </c>
      <c r="K53" s="43"/>
      <c r="L53" s="3">
        <v>2.5</v>
      </c>
      <c r="M53" s="7">
        <f t="shared" si="9"/>
        <v>2.3564999999999996</v>
      </c>
      <c r="N53" s="43"/>
      <c r="O53" s="3">
        <v>2.5</v>
      </c>
      <c r="P53" s="7">
        <f t="shared" si="10"/>
        <v>2.3564999999999996</v>
      </c>
      <c r="Q53" s="43"/>
      <c r="R53" s="3">
        <v>2.5</v>
      </c>
      <c r="S53" s="7">
        <f t="shared" si="11"/>
        <v>2.3564999999999996</v>
      </c>
      <c r="T53" s="43"/>
      <c r="U53" s="3">
        <v>8.6</v>
      </c>
      <c r="V53" s="7">
        <f t="shared" si="12"/>
        <v>16.212719999999997</v>
      </c>
      <c r="W53" s="44"/>
    </row>
    <row r="54" spans="1:23" x14ac:dyDescent="0.35">
      <c r="A54" s="42"/>
      <c r="B54" s="3">
        <v>2.7</v>
      </c>
      <c r="C54" s="3">
        <f t="shared" si="6"/>
        <v>3.1</v>
      </c>
      <c r="D54" s="7">
        <f t="shared" si="7"/>
        <v>7.548655000000001</v>
      </c>
      <c r="E54" s="43"/>
      <c r="F54" s="3">
        <v>2.7</v>
      </c>
      <c r="G54" s="35"/>
      <c r="H54" s="43"/>
      <c r="I54" s="3">
        <v>2.7</v>
      </c>
      <c r="J54" s="7">
        <f t="shared" si="8"/>
        <v>7.548655000000001</v>
      </c>
      <c r="K54" s="43"/>
      <c r="L54" s="3">
        <v>2.7</v>
      </c>
      <c r="M54" s="7">
        <f t="shared" si="9"/>
        <v>2.5450199999999996</v>
      </c>
      <c r="N54" s="43"/>
      <c r="O54" s="3">
        <v>2.7</v>
      </c>
      <c r="P54" s="7">
        <f t="shared" si="10"/>
        <v>2.5450199999999996</v>
      </c>
      <c r="Q54" s="43"/>
      <c r="R54" s="3">
        <v>2.7</v>
      </c>
      <c r="S54" s="7">
        <f t="shared" si="11"/>
        <v>2.5450199999999996</v>
      </c>
      <c r="T54" s="43"/>
      <c r="U54" s="3">
        <v>9.6</v>
      </c>
      <c r="V54" s="7">
        <f t="shared" si="12"/>
        <v>18.097919999999998</v>
      </c>
      <c r="W54" s="44"/>
    </row>
    <row r="55" spans="1:23" x14ac:dyDescent="0.35">
      <c r="A55" s="42"/>
      <c r="B55" s="3">
        <v>3</v>
      </c>
      <c r="C55" s="3">
        <f t="shared" si="6"/>
        <v>3.4</v>
      </c>
      <c r="D55" s="7">
        <f t="shared" si="7"/>
        <v>9.0803799999999981</v>
      </c>
      <c r="E55" s="43"/>
      <c r="F55" s="3">
        <v>3</v>
      </c>
      <c r="G55" s="35"/>
      <c r="H55" s="43"/>
      <c r="I55" s="3">
        <v>3</v>
      </c>
      <c r="J55" s="7">
        <f t="shared" si="8"/>
        <v>9.0803799999999981</v>
      </c>
      <c r="K55" s="43"/>
      <c r="L55" s="3">
        <v>3</v>
      </c>
      <c r="M55" s="7">
        <f t="shared" si="9"/>
        <v>2.8277999999999999</v>
      </c>
      <c r="N55" s="43"/>
      <c r="O55" s="3">
        <v>3</v>
      </c>
      <c r="P55" s="7">
        <f t="shared" si="10"/>
        <v>2.8277999999999999</v>
      </c>
      <c r="Q55" s="43"/>
      <c r="R55" s="3">
        <v>3</v>
      </c>
      <c r="S55" s="7">
        <f t="shared" si="11"/>
        <v>2.8277999999999999</v>
      </c>
      <c r="T55" s="43"/>
      <c r="U55" s="3">
        <v>10.6</v>
      </c>
      <c r="V55" s="7">
        <f t="shared" si="12"/>
        <v>19.98312</v>
      </c>
      <c r="W55" s="44"/>
    </row>
    <row r="56" spans="1:23" x14ac:dyDescent="0.3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4"/>
    </row>
    <row r="57" spans="1:23" ht="15" thickBot="1" x14ac:dyDescent="0.4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50"/>
    </row>
  </sheetData>
  <sheetProtection algorithmName="SHA-512" hashValue="9XOreBsaO2XNXXr2ACNRB/47t2K+DnLAzUApo8g0Zl0iKEKxHf5dHPEe1bIJ6wyVhHb1nAmCv/PtcmjBJZq/UA==" saltValue="hsM7PPAECQY919JwhyT3Og==" spinCount="100000" sheet="1" objects="1" scenarios="1"/>
  <mergeCells count="9">
    <mergeCell ref="E22:F22"/>
    <mergeCell ref="B43:D43"/>
    <mergeCell ref="R43:S43"/>
    <mergeCell ref="B1:F1"/>
    <mergeCell ref="H1:L1"/>
    <mergeCell ref="N1:R1"/>
    <mergeCell ref="B2:F2"/>
    <mergeCell ref="H2:L2"/>
    <mergeCell ref="N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54"/>
  <sheetViews>
    <sheetView topLeftCell="A29" workbookViewId="0">
      <selection activeCell="A42" sqref="A42:AM43"/>
    </sheetView>
  </sheetViews>
  <sheetFormatPr defaultColWidth="9.1796875" defaultRowHeight="14.5" x14ac:dyDescent="0.35"/>
  <cols>
    <col min="1" max="1" width="4.1796875" style="2" customWidth="1"/>
    <col min="2" max="39" width="2.26953125" style="2" customWidth="1"/>
    <col min="40" max="16384" width="9.1796875" style="2"/>
  </cols>
  <sheetData>
    <row r="1" spans="1:39" x14ac:dyDescent="0.35">
      <c r="A1" s="337" t="s">
        <v>183</v>
      </c>
      <c r="B1" s="338"/>
      <c r="C1" s="338"/>
      <c r="D1" s="338"/>
      <c r="E1" s="338"/>
      <c r="F1" s="339"/>
      <c r="G1" s="355" t="s">
        <v>184</v>
      </c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7"/>
      <c r="AF1" s="416"/>
      <c r="AG1" s="356"/>
      <c r="AH1" s="356"/>
      <c r="AI1" s="356"/>
      <c r="AJ1" s="356"/>
      <c r="AK1" s="356"/>
      <c r="AL1" s="356"/>
      <c r="AM1" s="417"/>
    </row>
    <row r="2" spans="1:39" ht="24.75" customHeight="1" x14ac:dyDescent="0.35">
      <c r="A2" s="340">
        <f>'General info'!C3</f>
        <v>0</v>
      </c>
      <c r="B2" s="341"/>
      <c r="C2" s="341"/>
      <c r="D2" s="341"/>
      <c r="E2" s="341"/>
      <c r="F2" s="342"/>
      <c r="G2" s="358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60"/>
      <c r="AF2" s="358"/>
      <c r="AG2" s="359"/>
      <c r="AH2" s="359"/>
      <c r="AI2" s="359"/>
      <c r="AJ2" s="359"/>
      <c r="AK2" s="359"/>
      <c r="AL2" s="359"/>
      <c r="AM2" s="418"/>
    </row>
    <row r="3" spans="1:39" x14ac:dyDescent="0.35">
      <c r="A3" s="343"/>
      <c r="B3" s="344"/>
      <c r="C3" s="344"/>
      <c r="D3" s="344"/>
      <c r="E3" s="344"/>
      <c r="F3" s="345"/>
      <c r="G3" s="361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  <c r="Z3" s="362"/>
      <c r="AA3" s="362"/>
      <c r="AB3" s="362"/>
      <c r="AC3" s="362"/>
      <c r="AD3" s="362"/>
      <c r="AE3" s="363"/>
      <c r="AF3" s="358"/>
      <c r="AG3" s="359"/>
      <c r="AH3" s="359"/>
      <c r="AI3" s="359"/>
      <c r="AJ3" s="359"/>
      <c r="AK3" s="359"/>
      <c r="AL3" s="359"/>
      <c r="AM3" s="418"/>
    </row>
    <row r="4" spans="1:39" x14ac:dyDescent="0.35">
      <c r="A4" s="346" t="s">
        <v>185</v>
      </c>
      <c r="B4" s="347"/>
      <c r="C4" s="347"/>
      <c r="D4" s="347"/>
      <c r="E4" s="347"/>
      <c r="F4" s="347"/>
      <c r="G4" s="347"/>
      <c r="H4" s="347"/>
      <c r="I4" s="348"/>
      <c r="J4" s="365" t="s">
        <v>186</v>
      </c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6"/>
      <c r="AF4" s="358"/>
      <c r="AG4" s="359"/>
      <c r="AH4" s="359"/>
      <c r="AI4" s="359"/>
      <c r="AJ4" s="359"/>
      <c r="AK4" s="359"/>
      <c r="AL4" s="359"/>
      <c r="AM4" s="418"/>
    </row>
    <row r="5" spans="1:39" ht="12.75" customHeight="1" x14ac:dyDescent="0.35">
      <c r="A5" s="349" t="s">
        <v>234</v>
      </c>
      <c r="B5" s="350"/>
      <c r="C5" s="350"/>
      <c r="D5" s="350"/>
      <c r="E5" s="350"/>
      <c r="F5" s="350"/>
      <c r="G5" s="350"/>
      <c r="H5" s="350"/>
      <c r="I5" s="351"/>
      <c r="J5" s="367">
        <f>'General info'!C4</f>
        <v>0</v>
      </c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8"/>
      <c r="AF5" s="358"/>
      <c r="AG5" s="359"/>
      <c r="AH5" s="359"/>
      <c r="AI5" s="359"/>
      <c r="AJ5" s="359"/>
      <c r="AK5" s="359"/>
      <c r="AL5" s="359"/>
      <c r="AM5" s="418"/>
    </row>
    <row r="6" spans="1:39" ht="12.75" customHeight="1" x14ac:dyDescent="0.35">
      <c r="A6" s="349"/>
      <c r="B6" s="350"/>
      <c r="C6" s="350"/>
      <c r="D6" s="350"/>
      <c r="E6" s="350"/>
      <c r="F6" s="350"/>
      <c r="G6" s="350"/>
      <c r="H6" s="350"/>
      <c r="I6" s="351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8"/>
      <c r="AF6" s="358"/>
      <c r="AG6" s="359"/>
      <c r="AH6" s="359"/>
      <c r="AI6" s="359"/>
      <c r="AJ6" s="359"/>
      <c r="AK6" s="359"/>
      <c r="AL6" s="359"/>
      <c r="AM6" s="418"/>
    </row>
    <row r="7" spans="1:39" ht="12.75" customHeight="1" x14ac:dyDescent="0.35">
      <c r="A7" s="352"/>
      <c r="B7" s="353"/>
      <c r="C7" s="353"/>
      <c r="D7" s="353"/>
      <c r="E7" s="353"/>
      <c r="F7" s="353"/>
      <c r="G7" s="353"/>
      <c r="H7" s="353"/>
      <c r="I7" s="354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69"/>
      <c r="AB7" s="369"/>
      <c r="AC7" s="369"/>
      <c r="AD7" s="369"/>
      <c r="AE7" s="370"/>
      <c r="AF7" s="358"/>
      <c r="AG7" s="359"/>
      <c r="AH7" s="359"/>
      <c r="AI7" s="359"/>
      <c r="AJ7" s="359"/>
      <c r="AK7" s="359"/>
      <c r="AL7" s="359"/>
      <c r="AM7" s="418"/>
    </row>
    <row r="8" spans="1:39" x14ac:dyDescent="0.35">
      <c r="A8" s="394" t="s">
        <v>187</v>
      </c>
      <c r="B8" s="347"/>
      <c r="C8" s="347"/>
      <c r="D8" s="347"/>
      <c r="E8" s="347"/>
      <c r="F8" s="348"/>
      <c r="G8" s="371" t="s">
        <v>188</v>
      </c>
      <c r="H8" s="347"/>
      <c r="I8" s="347"/>
      <c r="J8" s="347"/>
      <c r="K8" s="347"/>
      <c r="L8" s="348"/>
      <c r="M8" s="395" t="s">
        <v>189</v>
      </c>
      <c r="N8" s="396"/>
      <c r="O8" s="396"/>
      <c r="P8" s="396"/>
      <c r="Q8" s="396"/>
      <c r="R8" s="396"/>
      <c r="S8" s="396"/>
      <c r="T8" s="397"/>
      <c r="U8" s="371" t="s">
        <v>237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347"/>
      <c r="AJ8" s="347"/>
      <c r="AK8" s="347"/>
      <c r="AL8" s="347"/>
      <c r="AM8" s="372"/>
    </row>
    <row r="9" spans="1:39" x14ac:dyDescent="0.35">
      <c r="A9" s="398" t="e">
        <f>#REF!</f>
        <v>#REF!</v>
      </c>
      <c r="B9" s="398"/>
      <c r="C9" s="398"/>
      <c r="D9" s="398"/>
      <c r="E9" s="398"/>
      <c r="F9" s="399"/>
      <c r="G9" s="402"/>
      <c r="H9" s="403"/>
      <c r="I9" s="403"/>
      <c r="J9" s="403"/>
      <c r="K9" s="403"/>
      <c r="L9" s="404"/>
      <c r="M9" s="408" t="s">
        <v>190</v>
      </c>
      <c r="N9" s="408"/>
      <c r="O9" s="408"/>
      <c r="P9" s="409"/>
      <c r="Q9" s="412" t="s">
        <v>191</v>
      </c>
      <c r="R9" s="412"/>
      <c r="S9" s="412"/>
      <c r="T9" s="413"/>
      <c r="U9" s="373">
        <f>'General info'!C10</f>
        <v>0</v>
      </c>
      <c r="V9" s="374"/>
      <c r="W9" s="374"/>
      <c r="X9" s="374"/>
      <c r="Y9" s="374"/>
      <c r="Z9" s="374"/>
      <c r="AA9" s="374"/>
      <c r="AB9" s="374"/>
      <c r="AC9" s="374"/>
      <c r="AD9" s="374"/>
      <c r="AE9" s="374"/>
      <c r="AF9" s="374"/>
      <c r="AG9" s="374"/>
      <c r="AH9" s="374"/>
      <c r="AI9" s="374"/>
      <c r="AJ9" s="374"/>
      <c r="AK9" s="374"/>
      <c r="AL9" s="374"/>
      <c r="AM9" s="375"/>
    </row>
    <row r="10" spans="1:39" ht="15" thickBot="1" x14ac:dyDescent="0.4">
      <c r="A10" s="400"/>
      <c r="B10" s="400"/>
      <c r="C10" s="400"/>
      <c r="D10" s="400"/>
      <c r="E10" s="400"/>
      <c r="F10" s="401"/>
      <c r="G10" s="405"/>
      <c r="H10" s="406"/>
      <c r="I10" s="406"/>
      <c r="J10" s="406"/>
      <c r="K10" s="406"/>
      <c r="L10" s="407"/>
      <c r="M10" s="410"/>
      <c r="N10" s="410"/>
      <c r="O10" s="410"/>
      <c r="P10" s="411"/>
      <c r="Q10" s="414"/>
      <c r="R10" s="414"/>
      <c r="S10" s="414"/>
      <c r="T10" s="415"/>
      <c r="U10" s="376"/>
      <c r="V10" s="377"/>
      <c r="W10" s="377"/>
      <c r="X10" s="377"/>
      <c r="Y10" s="377"/>
      <c r="Z10" s="377"/>
      <c r="AA10" s="377"/>
      <c r="AB10" s="377"/>
      <c r="AC10" s="377"/>
      <c r="AD10" s="377"/>
      <c r="AE10" s="377"/>
      <c r="AF10" s="377"/>
      <c r="AG10" s="377"/>
      <c r="AH10" s="377"/>
      <c r="AI10" s="377"/>
      <c r="AJ10" s="377"/>
      <c r="AK10" s="377"/>
      <c r="AL10" s="377"/>
      <c r="AM10" s="378"/>
    </row>
    <row r="11" spans="1:39" ht="12.75" customHeight="1" x14ac:dyDescent="0.35">
      <c r="A11" s="379" t="s">
        <v>8</v>
      </c>
      <c r="B11" s="380"/>
      <c r="C11" s="380"/>
      <c r="D11" s="380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Q11" s="380"/>
      <c r="R11" s="380"/>
      <c r="S11" s="380"/>
      <c r="T11" s="380"/>
      <c r="U11" s="380"/>
      <c r="V11" s="380"/>
      <c r="W11" s="380"/>
      <c r="X11" s="380"/>
      <c r="Y11" s="380"/>
      <c r="Z11" s="380"/>
      <c r="AA11" s="380"/>
      <c r="AB11" s="380"/>
      <c r="AC11" s="380"/>
      <c r="AD11" s="380"/>
      <c r="AE11" s="380"/>
      <c r="AF11" s="380"/>
      <c r="AG11" s="380"/>
      <c r="AH11" s="380"/>
      <c r="AI11" s="380"/>
      <c r="AJ11" s="380"/>
      <c r="AK11" s="380"/>
      <c r="AL11" s="380"/>
      <c r="AM11" s="381"/>
    </row>
    <row r="12" spans="1:39" x14ac:dyDescent="0.35">
      <c r="A12" s="382"/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383"/>
      <c r="AJ12" s="383"/>
      <c r="AK12" s="383"/>
      <c r="AL12" s="383"/>
      <c r="AM12" s="384"/>
    </row>
    <row r="13" spans="1:39" ht="12.75" customHeight="1" x14ac:dyDescent="0.35">
      <c r="A13" s="385">
        <f>'General info'!C8</f>
        <v>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  <c r="AA13" s="386"/>
      <c r="AB13" s="386"/>
      <c r="AC13" s="386"/>
      <c r="AD13" s="386"/>
      <c r="AE13" s="386"/>
      <c r="AF13" s="386"/>
      <c r="AG13" s="386"/>
      <c r="AH13" s="386"/>
      <c r="AI13" s="386"/>
      <c r="AJ13" s="386"/>
      <c r="AK13" s="386"/>
      <c r="AL13" s="386"/>
      <c r="AM13" s="387"/>
    </row>
    <row r="14" spans="1:39" x14ac:dyDescent="0.35">
      <c r="A14" s="388"/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89"/>
      <c r="M14" s="389"/>
      <c r="N14" s="389"/>
      <c r="O14" s="389"/>
      <c r="P14" s="389"/>
      <c r="Q14" s="389"/>
      <c r="R14" s="389"/>
      <c r="S14" s="389"/>
      <c r="T14" s="389"/>
      <c r="U14" s="389"/>
      <c r="V14" s="389"/>
      <c r="W14" s="389"/>
      <c r="X14" s="389"/>
      <c r="Y14" s="389"/>
      <c r="Z14" s="389"/>
      <c r="AA14" s="389"/>
      <c r="AB14" s="389"/>
      <c r="AC14" s="389"/>
      <c r="AD14" s="389"/>
      <c r="AE14" s="389"/>
      <c r="AF14" s="389"/>
      <c r="AG14" s="389"/>
      <c r="AH14" s="389"/>
      <c r="AI14" s="389"/>
      <c r="AJ14" s="389"/>
      <c r="AK14" s="389"/>
      <c r="AL14" s="389"/>
      <c r="AM14" s="390"/>
    </row>
    <row r="15" spans="1:39" x14ac:dyDescent="0.35">
      <c r="A15" s="391">
        <f>'General info'!C9</f>
        <v>0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  <c r="N15" s="392"/>
      <c r="O15" s="392"/>
      <c r="P15" s="392"/>
      <c r="Q15" s="392"/>
      <c r="R15" s="392"/>
      <c r="S15" s="392"/>
      <c r="T15" s="392"/>
      <c r="U15" s="392"/>
      <c r="V15" s="392"/>
      <c r="W15" s="392"/>
      <c r="X15" s="392"/>
      <c r="Y15" s="392"/>
      <c r="Z15" s="392"/>
      <c r="AA15" s="392"/>
      <c r="AB15" s="392"/>
      <c r="AC15" s="392"/>
      <c r="AD15" s="392"/>
      <c r="AE15" s="392"/>
      <c r="AF15" s="392"/>
      <c r="AG15" s="392"/>
      <c r="AH15" s="392"/>
      <c r="AI15" s="392"/>
      <c r="AJ15" s="392"/>
      <c r="AK15" s="392"/>
      <c r="AL15" s="392"/>
      <c r="AM15" s="393"/>
    </row>
    <row r="16" spans="1:39" x14ac:dyDescent="0.35">
      <c r="A16" s="391"/>
      <c r="B16" s="392"/>
      <c r="C16" s="392"/>
      <c r="D16" s="392"/>
      <c r="E16" s="392"/>
      <c r="F16" s="392"/>
      <c r="G16" s="392"/>
      <c r="H16" s="392"/>
      <c r="I16" s="392"/>
      <c r="J16" s="392"/>
      <c r="K16" s="392"/>
      <c r="L16" s="392"/>
      <c r="M16" s="392"/>
      <c r="N16" s="392"/>
      <c r="O16" s="392"/>
      <c r="P16" s="392"/>
      <c r="Q16" s="392"/>
      <c r="R16" s="392"/>
      <c r="S16" s="392"/>
      <c r="T16" s="392"/>
      <c r="U16" s="392"/>
      <c r="V16" s="392"/>
      <c r="W16" s="392"/>
      <c r="X16" s="392"/>
      <c r="Y16" s="392"/>
      <c r="Z16" s="392"/>
      <c r="AA16" s="392"/>
      <c r="AB16" s="392"/>
      <c r="AC16" s="392"/>
      <c r="AD16" s="392"/>
      <c r="AE16" s="392"/>
      <c r="AF16" s="392"/>
      <c r="AG16" s="392"/>
      <c r="AH16" s="392"/>
      <c r="AI16" s="392"/>
      <c r="AJ16" s="392"/>
      <c r="AK16" s="392"/>
      <c r="AL16" s="392"/>
      <c r="AM16" s="393"/>
    </row>
    <row r="17" spans="1:39" x14ac:dyDescent="0.35">
      <c r="A17" s="391"/>
      <c r="B17" s="392"/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  <c r="R17" s="392"/>
      <c r="S17" s="392"/>
      <c r="T17" s="392"/>
      <c r="U17" s="392"/>
      <c r="V17" s="392"/>
      <c r="W17" s="392"/>
      <c r="X17" s="392"/>
      <c r="Y17" s="392"/>
      <c r="Z17" s="392"/>
      <c r="AA17" s="392"/>
      <c r="AB17" s="392"/>
      <c r="AC17" s="392"/>
      <c r="AD17" s="392"/>
      <c r="AE17" s="392"/>
      <c r="AF17" s="392"/>
      <c r="AG17" s="392"/>
      <c r="AH17" s="392"/>
      <c r="AI17" s="392"/>
      <c r="AJ17" s="392"/>
      <c r="AK17" s="392"/>
      <c r="AL17" s="392"/>
      <c r="AM17" s="393"/>
    </row>
    <row r="18" spans="1:39" x14ac:dyDescent="0.35">
      <c r="A18" s="391"/>
      <c r="B18" s="392"/>
      <c r="C18" s="392"/>
      <c r="D18" s="392"/>
      <c r="E18" s="392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2"/>
      <c r="Q18" s="392"/>
      <c r="R18" s="392"/>
      <c r="S18" s="392"/>
      <c r="T18" s="392"/>
      <c r="U18" s="392"/>
      <c r="V18" s="392"/>
      <c r="W18" s="392"/>
      <c r="X18" s="392"/>
      <c r="Y18" s="392"/>
      <c r="Z18" s="392"/>
      <c r="AA18" s="392"/>
      <c r="AB18" s="392"/>
      <c r="AC18" s="392"/>
      <c r="AD18" s="392"/>
      <c r="AE18" s="392"/>
      <c r="AF18" s="392"/>
      <c r="AG18" s="392"/>
      <c r="AH18" s="392"/>
      <c r="AI18" s="392"/>
      <c r="AJ18" s="392"/>
      <c r="AK18" s="392"/>
      <c r="AL18" s="392"/>
      <c r="AM18" s="393"/>
    </row>
    <row r="19" spans="1:39" ht="18.5" x14ac:dyDescent="0.45">
      <c r="A19" s="420" t="s">
        <v>192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 t="s">
        <v>45</v>
      </c>
      <c r="N19" s="420"/>
      <c r="O19" s="420"/>
      <c r="P19" s="420"/>
      <c r="Q19" s="420" t="s">
        <v>193</v>
      </c>
      <c r="R19" s="420"/>
      <c r="S19" s="420"/>
      <c r="T19" s="420"/>
      <c r="U19" s="420"/>
      <c r="V19" s="420"/>
      <c r="W19" s="420"/>
      <c r="X19" s="420"/>
      <c r="Y19" s="420"/>
      <c r="Z19" s="420"/>
      <c r="AA19" s="420"/>
      <c r="AB19" s="420" t="s">
        <v>194</v>
      </c>
      <c r="AC19" s="420"/>
      <c r="AD19" s="420"/>
      <c r="AE19" s="420"/>
      <c r="AF19" s="420" t="s">
        <v>235</v>
      </c>
      <c r="AG19" s="420"/>
      <c r="AH19" s="420"/>
      <c r="AI19" s="420"/>
      <c r="AJ19" s="420" t="s">
        <v>236</v>
      </c>
      <c r="AK19" s="420"/>
      <c r="AL19" s="420"/>
      <c r="AM19" s="420"/>
    </row>
    <row r="20" spans="1:39" x14ac:dyDescent="0.35">
      <c r="A20" s="364" t="s">
        <v>240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>
        <f>'General info'!C12</f>
        <v>0</v>
      </c>
      <c r="N20" s="364"/>
      <c r="O20" s="364"/>
      <c r="P20" s="364"/>
      <c r="Q20" s="421" t="e">
        <f>#REF!</f>
        <v>#REF!</v>
      </c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19" t="s">
        <v>251</v>
      </c>
      <c r="AC20" s="419"/>
      <c r="AD20" s="419"/>
      <c r="AE20" s="419"/>
      <c r="AF20" s="428">
        <f>'General info'!F29</f>
        <v>0</v>
      </c>
      <c r="AG20" s="429"/>
      <c r="AH20" s="429"/>
      <c r="AI20" s="430"/>
      <c r="AJ20" s="428">
        <f>'General info'!H29/8</f>
        <v>0</v>
      </c>
      <c r="AK20" s="429"/>
      <c r="AL20" s="429"/>
      <c r="AM20" s="430"/>
    </row>
    <row r="21" spans="1:39" x14ac:dyDescent="0.35">
      <c r="A21" s="364"/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19"/>
      <c r="AC21" s="419"/>
      <c r="AD21" s="419"/>
      <c r="AE21" s="419"/>
      <c r="AF21" s="447"/>
      <c r="AG21" s="341"/>
      <c r="AH21" s="341"/>
      <c r="AI21" s="342"/>
      <c r="AJ21" s="447"/>
      <c r="AK21" s="341"/>
      <c r="AL21" s="341"/>
      <c r="AM21" s="342"/>
    </row>
    <row r="22" spans="1:39" x14ac:dyDescent="0.35">
      <c r="A22" s="364" t="s">
        <v>241</v>
      </c>
      <c r="B22" s="364"/>
      <c r="C22" s="364"/>
      <c r="D22" s="364"/>
      <c r="E22" s="364"/>
      <c r="F22" s="364"/>
      <c r="G22" s="364"/>
      <c r="H22" s="364"/>
      <c r="I22" s="364"/>
      <c r="J22" s="364"/>
      <c r="K22" s="364"/>
      <c r="L22" s="364"/>
      <c r="M22" s="364">
        <f>'General info'!C13</f>
        <v>0</v>
      </c>
      <c r="N22" s="364"/>
      <c r="O22" s="364"/>
      <c r="P22" s="364"/>
      <c r="Q22" s="421" t="e">
        <f>#REF!</f>
        <v>#REF!</v>
      </c>
      <c r="R22" s="421"/>
      <c r="S22" s="421"/>
      <c r="T22" s="421"/>
      <c r="U22" s="421"/>
      <c r="V22" s="421"/>
      <c r="W22" s="421"/>
      <c r="X22" s="421"/>
      <c r="Y22" s="421"/>
      <c r="Z22" s="421"/>
      <c r="AA22" s="421"/>
      <c r="AB22" s="419" t="s">
        <v>251</v>
      </c>
      <c r="AC22" s="419"/>
      <c r="AD22" s="419"/>
      <c r="AE22" s="419"/>
      <c r="AF22" s="447"/>
      <c r="AG22" s="341"/>
      <c r="AH22" s="341"/>
      <c r="AI22" s="342"/>
      <c r="AJ22" s="447"/>
      <c r="AK22" s="341"/>
      <c r="AL22" s="341"/>
      <c r="AM22" s="342"/>
    </row>
    <row r="23" spans="1:39" x14ac:dyDescent="0.35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421"/>
      <c r="R23" s="421"/>
      <c r="S23" s="421"/>
      <c r="T23" s="421"/>
      <c r="U23" s="421"/>
      <c r="V23" s="421"/>
      <c r="W23" s="421"/>
      <c r="X23" s="421"/>
      <c r="Y23" s="421"/>
      <c r="Z23" s="421"/>
      <c r="AA23" s="421"/>
      <c r="AB23" s="419"/>
      <c r="AC23" s="419"/>
      <c r="AD23" s="419"/>
      <c r="AE23" s="419"/>
      <c r="AF23" s="431"/>
      <c r="AG23" s="344"/>
      <c r="AH23" s="344"/>
      <c r="AI23" s="345"/>
      <c r="AJ23" s="431"/>
      <c r="AK23" s="344"/>
      <c r="AL23" s="344"/>
      <c r="AM23" s="345"/>
    </row>
    <row r="24" spans="1:39" x14ac:dyDescent="0.35">
      <c r="A24" s="364" t="s">
        <v>238</v>
      </c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>
        <f>'Parts Cal'!C11</f>
        <v>0</v>
      </c>
      <c r="N24" s="364"/>
      <c r="O24" s="364"/>
      <c r="P24" s="364"/>
      <c r="Q24" s="421" t="e">
        <f>#REF!</f>
        <v>#REF!</v>
      </c>
      <c r="R24" s="421"/>
      <c r="S24" s="421"/>
      <c r="T24" s="421"/>
      <c r="U24" s="421"/>
      <c r="V24" s="421"/>
      <c r="W24" s="421"/>
      <c r="X24" s="421"/>
      <c r="Y24" s="421"/>
      <c r="Z24" s="421"/>
      <c r="AA24" s="421"/>
      <c r="AB24" s="419">
        <f>('Parts Cal'!M33*'Parts Cal'!E32)+('Parts Cal'!M33*'Parts Cal'!E33)</f>
        <v>0</v>
      </c>
      <c r="AC24" s="419"/>
      <c r="AD24" s="419"/>
      <c r="AE24" s="419"/>
      <c r="AF24" s="419">
        <f>'Parts Cal'!M35</f>
        <v>0</v>
      </c>
      <c r="AG24" s="419"/>
      <c r="AH24" s="419"/>
      <c r="AI24" s="419"/>
      <c r="AJ24" s="419">
        <f>'Parts Cal'!M36</f>
        <v>0</v>
      </c>
      <c r="AK24" s="419"/>
      <c r="AL24" s="419"/>
      <c r="AM24" s="419"/>
    </row>
    <row r="25" spans="1:39" x14ac:dyDescent="0.35">
      <c r="A25" s="364"/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421"/>
      <c r="AB25" s="419"/>
      <c r="AC25" s="419"/>
      <c r="AD25" s="419"/>
      <c r="AE25" s="419"/>
      <c r="AF25" s="419"/>
      <c r="AG25" s="419"/>
      <c r="AH25" s="419"/>
      <c r="AI25" s="419"/>
      <c r="AJ25" s="419"/>
      <c r="AK25" s="419"/>
      <c r="AL25" s="419"/>
      <c r="AM25" s="419"/>
    </row>
    <row r="26" spans="1:39" x14ac:dyDescent="0.35">
      <c r="A26" s="364" t="s">
        <v>239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>
        <f>'Parts Cal'!C12</f>
        <v>0</v>
      </c>
      <c r="N26" s="364"/>
      <c r="O26" s="364"/>
      <c r="P26" s="364"/>
      <c r="Q26" s="421" t="e">
        <f>#REF!</f>
        <v>#REF!</v>
      </c>
      <c r="R26" s="421"/>
      <c r="S26" s="421"/>
      <c r="T26" s="421"/>
      <c r="U26" s="421"/>
      <c r="V26" s="421"/>
      <c r="W26" s="421"/>
      <c r="X26" s="421"/>
      <c r="Y26" s="421"/>
      <c r="Z26" s="421"/>
      <c r="AA26" s="421"/>
      <c r="AB26" s="419">
        <f>('Parts Cal'!M56*'Parts Cal'!E54)+('Parts Cal'!M56*'Parts Cal'!E55)</f>
        <v>0</v>
      </c>
      <c r="AC26" s="419"/>
      <c r="AD26" s="419"/>
      <c r="AE26" s="419"/>
      <c r="AF26" s="419">
        <f>'Parts Cal'!M58</f>
        <v>0</v>
      </c>
      <c r="AG26" s="419"/>
      <c r="AH26" s="419"/>
      <c r="AI26" s="419"/>
      <c r="AJ26" s="419">
        <f>'Parts Cal'!M59</f>
        <v>0</v>
      </c>
      <c r="AK26" s="419"/>
      <c r="AL26" s="419"/>
      <c r="AM26" s="419"/>
    </row>
    <row r="27" spans="1:39" x14ac:dyDescent="0.35">
      <c r="A27" s="364"/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421"/>
      <c r="R27" s="421"/>
      <c r="S27" s="421"/>
      <c r="T27" s="421"/>
      <c r="U27" s="421"/>
      <c r="V27" s="421"/>
      <c r="W27" s="421"/>
      <c r="X27" s="421"/>
      <c r="Y27" s="421"/>
      <c r="Z27" s="421"/>
      <c r="AA27" s="421"/>
      <c r="AB27" s="419"/>
      <c r="AC27" s="419"/>
      <c r="AD27" s="419"/>
      <c r="AE27" s="419"/>
      <c r="AF27" s="419"/>
      <c r="AG27" s="419"/>
      <c r="AH27" s="419"/>
      <c r="AI27" s="419"/>
      <c r="AJ27" s="419"/>
      <c r="AK27" s="419"/>
      <c r="AL27" s="419"/>
      <c r="AM27" s="419"/>
    </row>
    <row r="28" spans="1:39" x14ac:dyDescent="0.35">
      <c r="A28" s="364" t="s">
        <v>129</v>
      </c>
      <c r="B28" s="364"/>
      <c r="C28" s="364"/>
      <c r="D28" s="364"/>
      <c r="E28" s="364"/>
      <c r="F28" s="364"/>
      <c r="G28" s="364"/>
      <c r="H28" s="364"/>
      <c r="I28" s="364"/>
      <c r="J28" s="364"/>
      <c r="K28" s="364"/>
      <c r="L28" s="364"/>
      <c r="M28" s="364">
        <f>'Parts Cal'!C13</f>
        <v>0</v>
      </c>
      <c r="N28" s="364"/>
      <c r="O28" s="364"/>
      <c r="P28" s="364"/>
      <c r="Q28" s="421" t="e">
        <f>#REF!</f>
        <v>#REF!</v>
      </c>
      <c r="R28" s="421"/>
      <c r="S28" s="421"/>
      <c r="T28" s="421"/>
      <c r="U28" s="421"/>
      <c r="V28" s="421"/>
      <c r="W28" s="421"/>
      <c r="X28" s="421"/>
      <c r="Y28" s="421"/>
      <c r="Z28" s="421"/>
      <c r="AA28" s="421"/>
      <c r="AB28" s="419">
        <f>('Parts Cal'!M79*'Parts Cal'!E76)+('Parts Cal'!M79*'Parts Cal'!E77)</f>
        <v>0</v>
      </c>
      <c r="AC28" s="419"/>
      <c r="AD28" s="419"/>
      <c r="AE28" s="419"/>
      <c r="AF28" s="419">
        <f>'Parts Cal'!M81</f>
        <v>0</v>
      </c>
      <c r="AG28" s="419"/>
      <c r="AH28" s="419"/>
      <c r="AI28" s="419"/>
      <c r="AJ28" s="419">
        <f>'Parts Cal'!M82</f>
        <v>0</v>
      </c>
      <c r="AK28" s="419"/>
      <c r="AL28" s="419"/>
      <c r="AM28" s="419"/>
    </row>
    <row r="29" spans="1:39" x14ac:dyDescent="0.35">
      <c r="A29" s="364"/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421"/>
      <c r="R29" s="421"/>
      <c r="S29" s="421"/>
      <c r="T29" s="421"/>
      <c r="U29" s="421"/>
      <c r="V29" s="421"/>
      <c r="W29" s="421"/>
      <c r="X29" s="421"/>
      <c r="Y29" s="421"/>
      <c r="Z29" s="421"/>
      <c r="AA29" s="421"/>
      <c r="AB29" s="419"/>
      <c r="AC29" s="419"/>
      <c r="AD29" s="419"/>
      <c r="AE29" s="419"/>
      <c r="AF29" s="419"/>
      <c r="AG29" s="419"/>
      <c r="AH29" s="419"/>
      <c r="AI29" s="419"/>
      <c r="AJ29" s="419"/>
      <c r="AK29" s="419"/>
      <c r="AL29" s="419"/>
      <c r="AM29" s="419"/>
    </row>
    <row r="30" spans="1:39" x14ac:dyDescent="0.35">
      <c r="A30" s="364" t="s">
        <v>242</v>
      </c>
      <c r="B30" s="364"/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>
        <f>'Parts Cal'!C14</f>
        <v>0</v>
      </c>
      <c r="N30" s="364"/>
      <c r="O30" s="364"/>
      <c r="P30" s="364"/>
      <c r="Q30" s="421" t="e">
        <f>#REF!</f>
        <v>#REF!</v>
      </c>
      <c r="R30" s="421"/>
      <c r="S30" s="421"/>
      <c r="T30" s="421"/>
      <c r="U30" s="421"/>
      <c r="V30" s="421"/>
      <c r="W30" s="421"/>
      <c r="X30" s="421"/>
      <c r="Y30" s="421"/>
      <c r="Z30" s="421"/>
      <c r="AA30" s="421"/>
      <c r="AB30" s="419">
        <f>('Parts Cal'!M102*'Parts Cal'!E98)+('Parts Cal'!M102*'Parts Cal'!E99)</f>
        <v>0</v>
      </c>
      <c r="AC30" s="419"/>
      <c r="AD30" s="419"/>
      <c r="AE30" s="419"/>
      <c r="AF30" s="419">
        <f>'Parts Cal'!M104</f>
        <v>0</v>
      </c>
      <c r="AG30" s="419"/>
      <c r="AH30" s="419"/>
      <c r="AI30" s="419"/>
      <c r="AJ30" s="419">
        <f>'Parts Cal'!M105</f>
        <v>0</v>
      </c>
      <c r="AK30" s="419"/>
      <c r="AL30" s="419"/>
      <c r="AM30" s="419"/>
    </row>
    <row r="31" spans="1:39" x14ac:dyDescent="0.35">
      <c r="A31" s="364"/>
      <c r="B31" s="36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421"/>
      <c r="R31" s="421"/>
      <c r="S31" s="421"/>
      <c r="T31" s="421"/>
      <c r="U31" s="421"/>
      <c r="V31" s="421"/>
      <c r="W31" s="421"/>
      <c r="X31" s="421"/>
      <c r="Y31" s="421"/>
      <c r="Z31" s="421"/>
      <c r="AA31" s="421"/>
      <c r="AB31" s="419"/>
      <c r="AC31" s="419"/>
      <c r="AD31" s="419"/>
      <c r="AE31" s="419"/>
      <c r="AF31" s="419"/>
      <c r="AG31" s="419"/>
      <c r="AH31" s="419"/>
      <c r="AI31" s="419"/>
      <c r="AJ31" s="419"/>
      <c r="AK31" s="419"/>
      <c r="AL31" s="419"/>
      <c r="AM31" s="419"/>
    </row>
    <row r="32" spans="1:39" x14ac:dyDescent="0.35">
      <c r="A32" s="364" t="s">
        <v>243</v>
      </c>
      <c r="B32" s="364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>
        <f>'Parts Cal'!C15</f>
        <v>0</v>
      </c>
      <c r="N32" s="364"/>
      <c r="O32" s="364"/>
      <c r="P32" s="364"/>
      <c r="Q32" s="421" t="e">
        <f>#REF!</f>
        <v>#REF!</v>
      </c>
      <c r="R32" s="421"/>
      <c r="S32" s="421"/>
      <c r="T32" s="421"/>
      <c r="U32" s="421"/>
      <c r="V32" s="421"/>
      <c r="W32" s="421"/>
      <c r="X32" s="421"/>
      <c r="Y32" s="421"/>
      <c r="Z32" s="421"/>
      <c r="AA32" s="421"/>
      <c r="AB32" s="419">
        <f>('Parts Cal'!M125*'Parts Cal'!E120)+('Parts Cal'!M125*'Parts Cal'!E121)</f>
        <v>0</v>
      </c>
      <c r="AC32" s="419"/>
      <c r="AD32" s="419"/>
      <c r="AE32" s="419"/>
      <c r="AF32" s="419">
        <f>'Parts Cal'!M127</f>
        <v>0</v>
      </c>
      <c r="AG32" s="419"/>
      <c r="AH32" s="419"/>
      <c r="AI32" s="419"/>
      <c r="AJ32" s="419">
        <f>'Parts Cal'!M128</f>
        <v>0</v>
      </c>
      <c r="AK32" s="419"/>
      <c r="AL32" s="419"/>
      <c r="AM32" s="419"/>
    </row>
    <row r="33" spans="1:39" x14ac:dyDescent="0.35">
      <c r="A33" s="364"/>
      <c r="B33" s="364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421"/>
      <c r="R33" s="421"/>
      <c r="S33" s="421"/>
      <c r="T33" s="421"/>
      <c r="U33" s="421"/>
      <c r="V33" s="421"/>
      <c r="W33" s="421"/>
      <c r="X33" s="421"/>
      <c r="Y33" s="421"/>
      <c r="Z33" s="421"/>
      <c r="AA33" s="421"/>
      <c r="AB33" s="419"/>
      <c r="AC33" s="419"/>
      <c r="AD33" s="419"/>
      <c r="AE33" s="419"/>
      <c r="AF33" s="419"/>
      <c r="AG33" s="419"/>
      <c r="AH33" s="419"/>
      <c r="AI33" s="419"/>
      <c r="AJ33" s="419"/>
      <c r="AK33" s="419"/>
      <c r="AL33" s="419"/>
      <c r="AM33" s="419"/>
    </row>
    <row r="34" spans="1:39" x14ac:dyDescent="0.35">
      <c r="A34" s="364" t="s">
        <v>244</v>
      </c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>
        <f>'Parts Cal'!C16</f>
        <v>0</v>
      </c>
      <c r="N34" s="364"/>
      <c r="O34" s="364"/>
      <c r="P34" s="364"/>
      <c r="Q34" s="421" t="e">
        <f>#REF!</f>
        <v>#REF!</v>
      </c>
      <c r="R34" s="421"/>
      <c r="S34" s="421"/>
      <c r="T34" s="421"/>
      <c r="U34" s="421"/>
      <c r="V34" s="421"/>
      <c r="W34" s="421"/>
      <c r="X34" s="421"/>
      <c r="Y34" s="421"/>
      <c r="Z34" s="421"/>
      <c r="AA34" s="421"/>
      <c r="AB34" s="419" t="s">
        <v>251</v>
      </c>
      <c r="AC34" s="419"/>
      <c r="AD34" s="419"/>
      <c r="AE34" s="419"/>
      <c r="AF34" s="419">
        <f>'Parts Cal'!M262</f>
        <v>0</v>
      </c>
      <c r="AG34" s="419"/>
      <c r="AH34" s="419"/>
      <c r="AI34" s="419"/>
      <c r="AJ34" s="419">
        <f>'Parts Cal'!M263</f>
        <v>0</v>
      </c>
      <c r="AK34" s="419"/>
      <c r="AL34" s="419"/>
      <c r="AM34" s="419"/>
    </row>
    <row r="35" spans="1:39" x14ac:dyDescent="0.35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421"/>
      <c r="R35" s="421"/>
      <c r="S35" s="421"/>
      <c r="T35" s="421"/>
      <c r="U35" s="421"/>
      <c r="V35" s="421"/>
      <c r="W35" s="421"/>
      <c r="X35" s="421"/>
      <c r="Y35" s="421"/>
      <c r="Z35" s="421"/>
      <c r="AA35" s="421"/>
      <c r="AB35" s="419"/>
      <c r="AC35" s="419"/>
      <c r="AD35" s="419"/>
      <c r="AE35" s="419"/>
      <c r="AF35" s="419"/>
      <c r="AG35" s="419"/>
      <c r="AH35" s="419"/>
      <c r="AI35" s="419"/>
      <c r="AJ35" s="419"/>
      <c r="AK35" s="419"/>
      <c r="AL35" s="419"/>
      <c r="AM35" s="419"/>
    </row>
    <row r="36" spans="1:39" x14ac:dyDescent="0.35">
      <c r="A36" s="432" t="s">
        <v>48</v>
      </c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4"/>
      <c r="M36" s="432">
        <v>1</v>
      </c>
      <c r="N36" s="433"/>
      <c r="O36" s="433"/>
      <c r="P36" s="434"/>
      <c r="Q36" s="422" t="s">
        <v>250</v>
      </c>
      <c r="R36" s="423"/>
      <c r="S36" s="423"/>
      <c r="T36" s="423"/>
      <c r="U36" s="423"/>
      <c r="V36" s="423"/>
      <c r="W36" s="423"/>
      <c r="X36" s="423"/>
      <c r="Y36" s="423"/>
      <c r="Z36" s="423"/>
      <c r="AA36" s="424"/>
      <c r="AB36" s="428">
        <f>'General info'!D34</f>
        <v>0</v>
      </c>
      <c r="AC36" s="429"/>
      <c r="AD36" s="429"/>
      <c r="AE36" s="430"/>
      <c r="AF36" s="428"/>
      <c r="AG36" s="429"/>
      <c r="AH36" s="429"/>
      <c r="AI36" s="430"/>
      <c r="AJ36" s="428"/>
      <c r="AK36" s="429"/>
      <c r="AL36" s="429"/>
      <c r="AM36" s="430"/>
    </row>
    <row r="37" spans="1:39" x14ac:dyDescent="0.35">
      <c r="A37" s="435"/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7"/>
      <c r="M37" s="435"/>
      <c r="N37" s="436"/>
      <c r="O37" s="436"/>
      <c r="P37" s="437"/>
      <c r="Q37" s="425"/>
      <c r="R37" s="426"/>
      <c r="S37" s="426"/>
      <c r="T37" s="426"/>
      <c r="U37" s="426"/>
      <c r="V37" s="426"/>
      <c r="W37" s="426"/>
      <c r="X37" s="426"/>
      <c r="Y37" s="426"/>
      <c r="Z37" s="426"/>
      <c r="AA37" s="427"/>
      <c r="AB37" s="431"/>
      <c r="AC37" s="344"/>
      <c r="AD37" s="344"/>
      <c r="AE37" s="345"/>
      <c r="AF37" s="431"/>
      <c r="AG37" s="344"/>
      <c r="AH37" s="344"/>
      <c r="AI37" s="345"/>
      <c r="AJ37" s="431"/>
      <c r="AK37" s="344"/>
      <c r="AL37" s="344"/>
      <c r="AM37" s="345"/>
    </row>
    <row r="38" spans="1:39" x14ac:dyDescent="0.35">
      <c r="A38" s="364" t="s">
        <v>245</v>
      </c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421" t="e">
        <f>#REF!</f>
        <v>#REF!</v>
      </c>
      <c r="N38" s="421"/>
      <c r="O38" s="421"/>
      <c r="P38" s="421"/>
      <c r="Q38" s="421"/>
      <c r="R38" s="421"/>
      <c r="S38" s="421"/>
      <c r="T38" s="421"/>
      <c r="U38" s="421"/>
      <c r="V38" s="421"/>
      <c r="W38" s="421"/>
      <c r="X38" s="421"/>
      <c r="Y38" s="421"/>
      <c r="Z38" s="421"/>
      <c r="AA38" s="421"/>
      <c r="AB38" s="421"/>
      <c r="AC38" s="421"/>
      <c r="AD38" s="421"/>
      <c r="AE38" s="421"/>
      <c r="AF38" s="421"/>
      <c r="AG38" s="421"/>
      <c r="AH38" s="421"/>
      <c r="AI38" s="421"/>
      <c r="AJ38" s="421"/>
      <c r="AK38" s="421"/>
      <c r="AL38" s="421"/>
      <c r="AM38" s="421"/>
    </row>
    <row r="39" spans="1:39" x14ac:dyDescent="0.35">
      <c r="A39" s="364"/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421"/>
      <c r="N39" s="421"/>
      <c r="O39" s="421"/>
      <c r="P39" s="421"/>
      <c r="Q39" s="421"/>
      <c r="R39" s="421"/>
      <c r="S39" s="421"/>
      <c r="T39" s="421"/>
      <c r="U39" s="421"/>
      <c r="V39" s="421"/>
      <c r="W39" s="421"/>
      <c r="X39" s="421"/>
      <c r="Y39" s="421"/>
      <c r="Z39" s="421"/>
      <c r="AA39" s="421"/>
      <c r="AB39" s="421"/>
      <c r="AC39" s="421"/>
      <c r="AD39" s="421"/>
      <c r="AE39" s="421"/>
      <c r="AF39" s="421"/>
      <c r="AG39" s="421"/>
      <c r="AH39" s="421"/>
      <c r="AI39" s="421"/>
      <c r="AJ39" s="421"/>
      <c r="AK39" s="421"/>
      <c r="AL39" s="421"/>
      <c r="AM39" s="421"/>
    </row>
    <row r="40" spans="1:39" x14ac:dyDescent="0.35">
      <c r="A40" s="364" t="s">
        <v>246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421" t="e">
        <f>#REF!</f>
        <v>#REF!</v>
      </c>
      <c r="N40" s="421"/>
      <c r="O40" s="421"/>
      <c r="P40" s="421"/>
      <c r="Q40" s="421"/>
      <c r="R40" s="421"/>
      <c r="S40" s="421"/>
      <c r="T40" s="421"/>
      <c r="U40" s="421"/>
      <c r="V40" s="421"/>
      <c r="W40" s="421"/>
      <c r="X40" s="421"/>
      <c r="Y40" s="421"/>
      <c r="Z40" s="421"/>
      <c r="AA40" s="421"/>
      <c r="AB40" s="421"/>
      <c r="AC40" s="421"/>
      <c r="AD40" s="421"/>
      <c r="AE40" s="421"/>
      <c r="AF40" s="421"/>
      <c r="AG40" s="421"/>
      <c r="AH40" s="421"/>
      <c r="AI40" s="421"/>
      <c r="AJ40" s="421"/>
      <c r="AK40" s="421"/>
      <c r="AL40" s="421"/>
      <c r="AM40" s="421"/>
    </row>
    <row r="41" spans="1:39" x14ac:dyDescent="0.35">
      <c r="A41" s="364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421"/>
      <c r="N41" s="421"/>
      <c r="O41" s="421"/>
      <c r="P41" s="421"/>
      <c r="Q41" s="421"/>
      <c r="R41" s="421"/>
      <c r="S41" s="421"/>
      <c r="T41" s="421"/>
      <c r="U41" s="421"/>
      <c r="V41" s="421"/>
      <c r="W41" s="421"/>
      <c r="X41" s="421"/>
      <c r="Y41" s="421"/>
      <c r="Z41" s="421"/>
      <c r="AA41" s="421"/>
      <c r="AB41" s="421"/>
      <c r="AC41" s="421"/>
      <c r="AD41" s="421"/>
      <c r="AE41" s="421"/>
      <c r="AF41" s="421"/>
      <c r="AG41" s="421"/>
      <c r="AH41" s="421"/>
      <c r="AI41" s="421"/>
      <c r="AJ41" s="421"/>
      <c r="AK41" s="421"/>
      <c r="AL41" s="421"/>
      <c r="AM41" s="421"/>
    </row>
    <row r="42" spans="1:39" x14ac:dyDescent="0.35">
      <c r="A42" s="438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  <c r="AB42" s="439"/>
      <c r="AC42" s="439"/>
      <c r="AD42" s="439"/>
      <c r="AE42" s="439"/>
      <c r="AF42" s="439"/>
      <c r="AG42" s="439"/>
      <c r="AH42" s="439"/>
      <c r="AI42" s="439"/>
      <c r="AJ42" s="439"/>
      <c r="AK42" s="439"/>
      <c r="AL42" s="439"/>
      <c r="AM42" s="440"/>
    </row>
    <row r="43" spans="1:39" x14ac:dyDescent="0.35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39"/>
      <c r="N43" s="439"/>
      <c r="O43" s="439"/>
      <c r="P43" s="439"/>
      <c r="Q43" s="439"/>
      <c r="R43" s="439"/>
      <c r="S43" s="439"/>
      <c r="T43" s="439"/>
      <c r="U43" s="439"/>
      <c r="V43" s="439"/>
      <c r="W43" s="439"/>
      <c r="X43" s="439"/>
      <c r="Y43" s="439"/>
      <c r="Z43" s="439"/>
      <c r="AA43" s="439"/>
      <c r="AB43" s="439"/>
      <c r="AC43" s="439"/>
      <c r="AD43" s="439"/>
      <c r="AE43" s="439"/>
      <c r="AF43" s="439"/>
      <c r="AG43" s="439"/>
      <c r="AH43" s="439"/>
      <c r="AI43" s="439"/>
      <c r="AJ43" s="439"/>
      <c r="AK43" s="439"/>
      <c r="AL43" s="439"/>
      <c r="AM43" s="440"/>
    </row>
    <row r="44" spans="1:39" x14ac:dyDescent="0.35">
      <c r="A44" s="438"/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439"/>
      <c r="AA44" s="439"/>
      <c r="AB44" s="439"/>
      <c r="AC44" s="439"/>
      <c r="AD44" s="439"/>
      <c r="AE44" s="439"/>
      <c r="AF44" s="439"/>
      <c r="AG44" s="439"/>
      <c r="AH44" s="439"/>
      <c r="AI44" s="439"/>
      <c r="AJ44" s="439"/>
      <c r="AK44" s="439"/>
      <c r="AL44" s="439"/>
      <c r="AM44" s="440"/>
    </row>
    <row r="45" spans="1:39" x14ac:dyDescent="0.35">
      <c r="A45" s="438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439"/>
      <c r="AA45" s="439"/>
      <c r="AB45" s="439"/>
      <c r="AC45" s="439"/>
      <c r="AD45" s="439"/>
      <c r="AE45" s="439"/>
      <c r="AF45" s="439"/>
      <c r="AG45" s="439"/>
      <c r="AH45" s="439"/>
      <c r="AI45" s="439"/>
      <c r="AJ45" s="439"/>
      <c r="AK45" s="439"/>
      <c r="AL45" s="439"/>
      <c r="AM45" s="440"/>
    </row>
    <row r="46" spans="1:39" x14ac:dyDescent="0.35">
      <c r="A46" s="438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39"/>
      <c r="Z46" s="439"/>
      <c r="AA46" s="439"/>
      <c r="AB46" s="439"/>
      <c r="AC46" s="439"/>
      <c r="AD46" s="439"/>
      <c r="AE46" s="439"/>
      <c r="AF46" s="439"/>
      <c r="AG46" s="439"/>
      <c r="AH46" s="439"/>
      <c r="AI46" s="439"/>
      <c r="AJ46" s="439"/>
      <c r="AK46" s="439"/>
      <c r="AL46" s="439"/>
      <c r="AM46" s="440"/>
    </row>
    <row r="47" spans="1:39" x14ac:dyDescent="0.35">
      <c r="A47" s="438"/>
      <c r="B47" s="439"/>
      <c r="C47" s="439"/>
      <c r="D47" s="439"/>
      <c r="E47" s="439"/>
      <c r="F47" s="439"/>
      <c r="G47" s="439"/>
      <c r="H47" s="439"/>
      <c r="I47" s="439"/>
      <c r="J47" s="439"/>
      <c r="K47" s="439"/>
      <c r="L47" s="439"/>
      <c r="M47" s="439"/>
      <c r="N47" s="439"/>
      <c r="O47" s="439"/>
      <c r="P47" s="439"/>
      <c r="Q47" s="439"/>
      <c r="R47" s="439"/>
      <c r="S47" s="439"/>
      <c r="T47" s="439"/>
      <c r="U47" s="439"/>
      <c r="V47" s="439"/>
      <c r="W47" s="439"/>
      <c r="X47" s="439"/>
      <c r="Y47" s="439"/>
      <c r="Z47" s="439"/>
      <c r="AA47" s="439"/>
      <c r="AB47" s="439"/>
      <c r="AC47" s="439"/>
      <c r="AD47" s="439"/>
      <c r="AE47" s="439"/>
      <c r="AF47" s="439"/>
      <c r="AG47" s="439"/>
      <c r="AH47" s="439"/>
      <c r="AI47" s="439"/>
      <c r="AJ47" s="439"/>
      <c r="AK47" s="439"/>
      <c r="AL47" s="439"/>
      <c r="AM47" s="440"/>
    </row>
    <row r="48" spans="1:39" x14ac:dyDescent="0.35">
      <c r="A48" s="438"/>
      <c r="B48" s="439"/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39"/>
      <c r="N48" s="439"/>
      <c r="O48" s="439"/>
      <c r="P48" s="439"/>
      <c r="Q48" s="439"/>
      <c r="R48" s="439"/>
      <c r="S48" s="439"/>
      <c r="T48" s="439"/>
      <c r="U48" s="439"/>
      <c r="V48" s="439"/>
      <c r="W48" s="439"/>
      <c r="X48" s="439"/>
      <c r="Y48" s="439"/>
      <c r="Z48" s="439"/>
      <c r="AA48" s="439"/>
      <c r="AB48" s="439"/>
      <c r="AC48" s="439"/>
      <c r="AD48" s="439"/>
      <c r="AE48" s="439"/>
      <c r="AF48" s="439"/>
      <c r="AG48" s="439"/>
      <c r="AH48" s="439"/>
      <c r="AI48" s="439"/>
      <c r="AJ48" s="439"/>
      <c r="AK48" s="439"/>
      <c r="AL48" s="439"/>
      <c r="AM48" s="440"/>
    </row>
    <row r="49" spans="1:39" x14ac:dyDescent="0.35">
      <c r="A49" s="438"/>
      <c r="B49" s="439"/>
      <c r="C49" s="439"/>
      <c r="D49" s="439"/>
      <c r="E49" s="439"/>
      <c r="F49" s="439"/>
      <c r="G49" s="439"/>
      <c r="H49" s="439"/>
      <c r="I49" s="439"/>
      <c r="J49" s="439"/>
      <c r="K49" s="439"/>
      <c r="L49" s="439"/>
      <c r="M49" s="439"/>
      <c r="N49" s="439"/>
      <c r="O49" s="439"/>
      <c r="P49" s="439"/>
      <c r="Q49" s="439"/>
      <c r="R49" s="439"/>
      <c r="S49" s="439"/>
      <c r="T49" s="439"/>
      <c r="U49" s="439"/>
      <c r="V49" s="439"/>
      <c r="W49" s="439"/>
      <c r="X49" s="439"/>
      <c r="Y49" s="439"/>
      <c r="Z49" s="439"/>
      <c r="AA49" s="439"/>
      <c r="AB49" s="439"/>
      <c r="AC49" s="439"/>
      <c r="AD49" s="439"/>
      <c r="AE49" s="439"/>
      <c r="AF49" s="439"/>
      <c r="AG49" s="439"/>
      <c r="AH49" s="439"/>
      <c r="AI49" s="439"/>
      <c r="AJ49" s="439"/>
      <c r="AK49" s="439"/>
      <c r="AL49" s="439"/>
      <c r="AM49" s="440"/>
    </row>
    <row r="50" spans="1:39" x14ac:dyDescent="0.35">
      <c r="A50" s="438"/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39"/>
      <c r="AB50" s="439"/>
      <c r="AC50" s="439"/>
      <c r="AD50" s="439"/>
      <c r="AE50" s="439"/>
      <c r="AF50" s="439"/>
      <c r="AG50" s="439"/>
      <c r="AH50" s="439"/>
      <c r="AI50" s="439"/>
      <c r="AJ50" s="439"/>
      <c r="AK50" s="439"/>
      <c r="AL50" s="439"/>
      <c r="AM50" s="440"/>
    </row>
    <row r="51" spans="1:39" x14ac:dyDescent="0.35">
      <c r="A51" s="438"/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439"/>
      <c r="AA51" s="439"/>
      <c r="AB51" s="439"/>
      <c r="AC51" s="439"/>
      <c r="AD51" s="439"/>
      <c r="AE51" s="439"/>
      <c r="AF51" s="439"/>
      <c r="AG51" s="439"/>
      <c r="AH51" s="439"/>
      <c r="AI51" s="439"/>
      <c r="AJ51" s="439"/>
      <c r="AK51" s="439"/>
      <c r="AL51" s="439"/>
      <c r="AM51" s="440"/>
    </row>
    <row r="52" spans="1:39" x14ac:dyDescent="0.35">
      <c r="A52" s="438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39"/>
      <c r="O52" s="439"/>
      <c r="P52" s="439"/>
      <c r="Q52" s="439"/>
      <c r="R52" s="439"/>
      <c r="S52" s="439"/>
      <c r="T52" s="439"/>
      <c r="U52" s="439"/>
      <c r="V52" s="439"/>
      <c r="W52" s="439"/>
      <c r="X52" s="439"/>
      <c r="Y52" s="439"/>
      <c r="Z52" s="439"/>
      <c r="AA52" s="439"/>
      <c r="AB52" s="439"/>
      <c r="AC52" s="439"/>
      <c r="AD52" s="439"/>
      <c r="AE52" s="439"/>
      <c r="AF52" s="439"/>
      <c r="AG52" s="439"/>
      <c r="AH52" s="439"/>
      <c r="AI52" s="439"/>
      <c r="AJ52" s="439"/>
      <c r="AK52" s="439"/>
      <c r="AL52" s="439"/>
      <c r="AM52" s="440"/>
    </row>
    <row r="53" spans="1:39" ht="15" thickBot="1" x14ac:dyDescent="0.4">
      <c r="A53" s="441"/>
      <c r="B53" s="442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  <c r="AA53" s="442"/>
      <c r="AB53" s="442"/>
      <c r="AC53" s="442"/>
      <c r="AD53" s="442"/>
      <c r="AE53" s="442"/>
      <c r="AF53" s="442"/>
      <c r="AG53" s="442"/>
      <c r="AH53" s="442"/>
      <c r="AI53" s="442"/>
      <c r="AJ53" s="442"/>
      <c r="AK53" s="442"/>
      <c r="AL53" s="442"/>
      <c r="AM53" s="443"/>
    </row>
    <row r="54" spans="1:39" ht="15" thickBot="1" x14ac:dyDescent="0.4">
      <c r="A54" s="444" t="s">
        <v>195</v>
      </c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5"/>
      <c r="O54" s="445"/>
      <c r="P54" s="445"/>
      <c r="Q54" s="445"/>
      <c r="R54" s="445"/>
      <c r="S54" s="445"/>
      <c r="T54" s="445"/>
      <c r="U54" s="445"/>
      <c r="V54" s="445"/>
      <c r="W54" s="445"/>
      <c r="X54" s="445"/>
      <c r="Y54" s="445"/>
      <c r="Z54" s="445"/>
      <c r="AA54" s="445"/>
      <c r="AB54" s="445"/>
      <c r="AC54" s="445"/>
      <c r="AD54" s="445"/>
      <c r="AE54" s="445"/>
      <c r="AF54" s="445"/>
      <c r="AG54" s="445"/>
      <c r="AH54" s="445"/>
      <c r="AI54" s="445"/>
      <c r="AJ54" s="445"/>
      <c r="AK54" s="445"/>
      <c r="AL54" s="445"/>
      <c r="AM54" s="446"/>
    </row>
  </sheetData>
  <sheetProtection algorithmName="SHA-512" hashValue="3j46JLRKYdWaOP1WozjTjUD228JatpaCBxorll6RgeRGyRkJWnzI/FEhyy4qNoJz3aNbKMfjtQKK22J9xeZTzA==" saltValue="GsWL4ciRZ4l4pH9u0hvYJg==" spinCount="100000" sheet="1" objects="1" scenarios="1"/>
  <mergeCells count="89">
    <mergeCell ref="A19:L19"/>
    <mergeCell ref="M19:P19"/>
    <mergeCell ref="M38:AM39"/>
    <mergeCell ref="A36:L37"/>
    <mergeCell ref="AF20:AI23"/>
    <mergeCell ref="AJ20:AM23"/>
    <mergeCell ref="M22:P23"/>
    <mergeCell ref="M24:P25"/>
    <mergeCell ref="M26:P27"/>
    <mergeCell ref="M28:P29"/>
    <mergeCell ref="M30:P31"/>
    <mergeCell ref="M32:P33"/>
    <mergeCell ref="A38:L39"/>
    <mergeCell ref="Q30:AA31"/>
    <mergeCell ref="AB30:AE31"/>
    <mergeCell ref="AF30:AI31"/>
    <mergeCell ref="A52:AM53"/>
    <mergeCell ref="A54:AM54"/>
    <mergeCell ref="A20:L21"/>
    <mergeCell ref="A22:L23"/>
    <mergeCell ref="A24:L25"/>
    <mergeCell ref="A26:L27"/>
    <mergeCell ref="A28:L29"/>
    <mergeCell ref="A30:L31"/>
    <mergeCell ref="A32:L33"/>
    <mergeCell ref="A34:L35"/>
    <mergeCell ref="A42:AM43"/>
    <mergeCell ref="A44:AM45"/>
    <mergeCell ref="A46:AM47"/>
    <mergeCell ref="A48:AM49"/>
    <mergeCell ref="A50:AM51"/>
    <mergeCell ref="A40:L41"/>
    <mergeCell ref="M40:AM41"/>
    <mergeCell ref="Q34:AA35"/>
    <mergeCell ref="AB34:AE35"/>
    <mergeCell ref="AF34:AI35"/>
    <mergeCell ref="AJ34:AM35"/>
    <mergeCell ref="Q36:AA37"/>
    <mergeCell ref="AB36:AE37"/>
    <mergeCell ref="AF36:AI37"/>
    <mergeCell ref="AJ36:AM37"/>
    <mergeCell ref="M34:P35"/>
    <mergeCell ref="M36:P37"/>
    <mergeCell ref="AJ30:AM31"/>
    <mergeCell ref="Q32:AA33"/>
    <mergeCell ref="AB32:AE33"/>
    <mergeCell ref="AF32:AI33"/>
    <mergeCell ref="AJ32:AM33"/>
    <mergeCell ref="Q26:AA27"/>
    <mergeCell ref="AB26:AE27"/>
    <mergeCell ref="AF26:AI27"/>
    <mergeCell ref="AJ26:AM27"/>
    <mergeCell ref="Q28:AA29"/>
    <mergeCell ref="AB28:AE29"/>
    <mergeCell ref="AF28:AI29"/>
    <mergeCell ref="AJ28:AM29"/>
    <mergeCell ref="AJ24:AM25"/>
    <mergeCell ref="Q19:AA19"/>
    <mergeCell ref="AB19:AE19"/>
    <mergeCell ref="AF19:AI19"/>
    <mergeCell ref="AJ19:AM19"/>
    <mergeCell ref="Q20:AA21"/>
    <mergeCell ref="AB20:AE21"/>
    <mergeCell ref="Q22:AA23"/>
    <mergeCell ref="AB22:AE23"/>
    <mergeCell ref="Q24:AA25"/>
    <mergeCell ref="AB24:AE25"/>
    <mergeCell ref="AF24:AI25"/>
    <mergeCell ref="M20:P21"/>
    <mergeCell ref="J4:AE4"/>
    <mergeCell ref="J5:AE7"/>
    <mergeCell ref="U8:AM8"/>
    <mergeCell ref="U9:AM10"/>
    <mergeCell ref="A11:AM12"/>
    <mergeCell ref="A13:AM14"/>
    <mergeCell ref="A15:AM18"/>
    <mergeCell ref="A8:F8"/>
    <mergeCell ref="G8:L8"/>
    <mergeCell ref="M8:T8"/>
    <mergeCell ref="A9:F10"/>
    <mergeCell ref="G9:L10"/>
    <mergeCell ref="M9:P10"/>
    <mergeCell ref="Q9:T10"/>
    <mergeCell ref="AF1:AM7"/>
    <mergeCell ref="A1:F1"/>
    <mergeCell ref="A2:F3"/>
    <mergeCell ref="A4:I4"/>
    <mergeCell ref="A5:I7"/>
    <mergeCell ref="G1:AE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42"/>
  <sheetViews>
    <sheetView workbookViewId="0">
      <selection activeCell="B8" sqref="B8:C8"/>
    </sheetView>
  </sheetViews>
  <sheetFormatPr defaultColWidth="9.1796875" defaultRowHeight="16" x14ac:dyDescent="0.35"/>
  <cols>
    <col min="1" max="1" width="12" style="51" customWidth="1"/>
    <col min="2" max="2" width="4.1796875" style="51" customWidth="1"/>
    <col min="3" max="3" width="15.7265625" style="51" customWidth="1"/>
    <col min="4" max="4" width="12.81640625" style="51" customWidth="1"/>
    <col min="5" max="5" width="15.54296875" style="51" bestFit="1" customWidth="1"/>
    <col min="6" max="6" width="5.7265625" style="51" customWidth="1"/>
    <col min="7" max="7" width="11.26953125" style="51" bestFit="1" customWidth="1"/>
    <col min="8" max="9" width="4.81640625" style="51" bestFit="1" customWidth="1"/>
    <col min="10" max="10" width="4.54296875" style="51" bestFit="1" customWidth="1"/>
    <col min="11" max="16384" width="9.1796875" style="51"/>
  </cols>
  <sheetData>
    <row r="1" spans="1:12" x14ac:dyDescent="0.35">
      <c r="C1" s="52" t="s">
        <v>196</v>
      </c>
      <c r="F1" s="53" t="s">
        <v>197</v>
      </c>
      <c r="I1" s="54"/>
      <c r="J1" s="53"/>
      <c r="K1" s="55"/>
      <c r="L1" s="56"/>
    </row>
    <row r="2" spans="1:12" x14ac:dyDescent="0.35">
      <c r="C2" s="53" t="s">
        <v>198</v>
      </c>
      <c r="F2" s="53" t="s">
        <v>199</v>
      </c>
      <c r="I2" s="54"/>
      <c r="J2" s="53"/>
      <c r="K2" s="55"/>
      <c r="L2" s="56"/>
    </row>
    <row r="3" spans="1:12" x14ac:dyDescent="0.35">
      <c r="C3" s="53" t="s">
        <v>200</v>
      </c>
      <c r="F3" s="53" t="s">
        <v>201</v>
      </c>
      <c r="I3" s="54"/>
      <c r="J3" s="53"/>
      <c r="K3" s="55"/>
      <c r="L3" s="56"/>
    </row>
    <row r="4" spans="1:12" x14ac:dyDescent="0.35">
      <c r="C4" s="53" t="s">
        <v>202</v>
      </c>
      <c r="F4" s="53"/>
      <c r="H4" s="53"/>
      <c r="I4" s="54"/>
      <c r="J4" s="53"/>
      <c r="K4" s="55"/>
      <c r="L4" s="56"/>
    </row>
    <row r="5" spans="1:12" x14ac:dyDescent="0.35">
      <c r="G5" s="56"/>
      <c r="H5" s="56"/>
      <c r="J5" s="56"/>
      <c r="K5" s="55"/>
      <c r="L5" s="56"/>
    </row>
    <row r="6" spans="1:12" s="58" customFormat="1" ht="18.5" x14ac:dyDescent="0.35">
      <c r="A6" s="57" t="s">
        <v>203</v>
      </c>
      <c r="B6" s="57"/>
    </row>
    <row r="7" spans="1:12" s="58" customFormat="1" ht="14.5" x14ac:dyDescent="0.35"/>
    <row r="8" spans="1:12" s="61" customFormat="1" ht="17.25" customHeight="1" x14ac:dyDescent="0.35">
      <c r="A8" s="59" t="s">
        <v>204</v>
      </c>
      <c r="B8" s="448" t="str">
        <f>[1]Job!A5</f>
        <v>000</v>
      </c>
      <c r="C8" s="448"/>
      <c r="D8" s="58"/>
      <c r="E8" s="60" t="s">
        <v>205</v>
      </c>
      <c r="F8" s="59" t="str">
        <f>'[1]tank general information'!C5</f>
        <v>Greta Balzan</v>
      </c>
      <c r="G8" s="59"/>
      <c r="H8" s="58"/>
      <c r="I8" s="58"/>
      <c r="J8" s="58"/>
    </row>
    <row r="9" spans="1:12" s="61" customFormat="1" ht="17.25" customHeight="1" x14ac:dyDescent="0.35">
      <c r="A9" s="59" t="s">
        <v>1</v>
      </c>
      <c r="B9" s="449">
        <f>'[1]tank general information'!C2</f>
        <v>44253</v>
      </c>
      <c r="C9" s="449"/>
      <c r="D9" s="58"/>
      <c r="E9" s="60" t="s">
        <v>206</v>
      </c>
      <c r="F9" s="59" t="str">
        <f>'[1]tank general information'!K2</f>
        <v>No. 4,</v>
      </c>
      <c r="G9" s="59"/>
      <c r="H9" s="58"/>
      <c r="I9" s="58"/>
      <c r="J9" s="58"/>
    </row>
    <row r="10" spans="1:12" s="61" customFormat="1" ht="17.25" customHeight="1" x14ac:dyDescent="0.35">
      <c r="A10" s="59" t="s">
        <v>207</v>
      </c>
      <c r="B10" s="450" t="str">
        <f>'[1]tank general information'!C3</f>
        <v>Q000</v>
      </c>
      <c r="C10" s="450"/>
      <c r="D10" s="58"/>
      <c r="E10" s="62"/>
      <c r="F10" s="59" t="str">
        <f>'[1]tank general information'!K3</f>
        <v>Triq ABC,</v>
      </c>
      <c r="G10" s="59"/>
      <c r="H10" s="58"/>
      <c r="I10" s="58"/>
      <c r="J10" s="58"/>
    </row>
    <row r="11" spans="1:12" s="61" customFormat="1" ht="17.25" customHeight="1" x14ac:dyDescent="0.35">
      <c r="A11" s="59"/>
      <c r="B11" s="59"/>
      <c r="C11" s="59"/>
      <c r="D11" s="58"/>
      <c r="E11" s="62"/>
      <c r="F11" s="59" t="str">
        <f>'[1]tank general information'!K4</f>
        <v>Marsa, MRS 3000</v>
      </c>
      <c r="G11" s="59"/>
      <c r="H11" s="58"/>
      <c r="I11" s="58"/>
      <c r="J11" s="58"/>
    </row>
    <row r="12" spans="1:12" s="61" customFormat="1" ht="15.5" x14ac:dyDescent="0.35">
      <c r="A12" s="58"/>
      <c r="B12" s="58"/>
      <c r="C12" s="58"/>
      <c r="D12" s="58"/>
      <c r="E12" s="62"/>
      <c r="F12" s="59"/>
      <c r="G12" s="59"/>
      <c r="H12" s="58"/>
      <c r="I12" s="58"/>
      <c r="J12" s="58"/>
    </row>
    <row r="13" spans="1:12" s="61" customFormat="1" ht="15.5" x14ac:dyDescent="0.35">
      <c r="A13" s="62" t="s">
        <v>208</v>
      </c>
      <c r="C13" s="63" t="str">
        <f>'[1]tank general information'!K5</f>
        <v>MT 0000-0000</v>
      </c>
      <c r="D13" s="58"/>
      <c r="E13" s="60" t="s">
        <v>2</v>
      </c>
      <c r="F13" s="59" t="str">
        <f>'[1]tank general information'!P2</f>
        <v>Greta Balzan</v>
      </c>
      <c r="G13" s="59"/>
      <c r="H13" s="59"/>
      <c r="I13" s="58"/>
      <c r="J13" s="58"/>
    </row>
    <row r="14" spans="1:12" s="61" customFormat="1" ht="15.5" x14ac:dyDescent="0.35">
      <c r="A14" s="62" t="s">
        <v>6</v>
      </c>
      <c r="C14" s="63" t="str">
        <f>'[1]tank general information'!P4</f>
        <v>LPO000</v>
      </c>
      <c r="D14" s="58"/>
      <c r="E14" s="60" t="s">
        <v>4</v>
      </c>
      <c r="F14" s="450">
        <f>'[1]tank general information'!P3</f>
        <v>99474943</v>
      </c>
      <c r="G14" s="450"/>
      <c r="H14" s="59"/>
      <c r="I14" s="58"/>
      <c r="J14" s="58"/>
    </row>
    <row r="15" spans="1:12" s="61" customFormat="1" ht="15.5" x14ac:dyDescent="0.35">
      <c r="A15" s="62"/>
      <c r="C15" s="63"/>
      <c r="D15" s="58"/>
      <c r="E15" s="60"/>
      <c r="F15" s="59"/>
      <c r="G15" s="59"/>
      <c r="H15" s="59"/>
      <c r="I15" s="58"/>
      <c r="J15" s="58"/>
    </row>
    <row r="16" spans="1:12" s="61" customFormat="1" ht="15.5" x14ac:dyDescent="0.35"/>
    <row r="17" spans="1:11" s="61" customFormat="1" ht="15.5" x14ac:dyDescent="0.35">
      <c r="A17" s="451" t="s">
        <v>209</v>
      </c>
      <c r="B17" s="452"/>
      <c r="C17" s="453" t="s">
        <v>210</v>
      </c>
      <c r="D17" s="453"/>
      <c r="E17" s="64" t="s">
        <v>211</v>
      </c>
      <c r="F17" s="64" t="s">
        <v>212</v>
      </c>
      <c r="G17" s="64" t="s">
        <v>213</v>
      </c>
      <c r="H17" s="64" t="s">
        <v>214</v>
      </c>
      <c r="K17" s="65"/>
    </row>
    <row r="18" spans="1:11" s="61" customFormat="1" ht="15.5" x14ac:dyDescent="0.35">
      <c r="A18" s="455" t="s">
        <v>101</v>
      </c>
      <c r="B18" s="456"/>
      <c r="C18" s="457" t="str">
        <f>'[1]tank general information'!K6</f>
        <v>1-sentence description</v>
      </c>
      <c r="D18" s="457"/>
      <c r="E18" s="66">
        <v>0</v>
      </c>
      <c r="F18" s="67">
        <v>1</v>
      </c>
      <c r="G18" s="66">
        <f>F18*E18</f>
        <v>0</v>
      </c>
      <c r="H18" s="68">
        <v>0.18</v>
      </c>
      <c r="K18" s="69"/>
    </row>
    <row r="19" spans="1:11" s="61" customFormat="1" ht="15.5" x14ac:dyDescent="0.35">
      <c r="A19" s="455"/>
      <c r="B19" s="456"/>
      <c r="C19" s="455"/>
      <c r="D19" s="456"/>
      <c r="E19" s="66"/>
      <c r="F19" s="67"/>
      <c r="G19" s="66"/>
      <c r="H19" s="68"/>
      <c r="K19" s="69"/>
    </row>
    <row r="20" spans="1:11" s="61" customFormat="1" ht="15.5" x14ac:dyDescent="0.35">
      <c r="A20" s="70"/>
      <c r="B20" s="70"/>
      <c r="E20" s="71"/>
      <c r="F20" s="71"/>
      <c r="G20" s="71"/>
      <c r="H20" s="72"/>
      <c r="K20" s="72"/>
    </row>
    <row r="21" spans="1:11" s="61" customFormat="1" ht="24" customHeight="1" x14ac:dyDescent="0.35">
      <c r="A21" s="70"/>
      <c r="B21" s="70"/>
      <c r="E21" s="458" t="s">
        <v>215</v>
      </c>
      <c r="F21" s="458"/>
      <c r="G21" s="73">
        <f>SUM(G18:G20)</f>
        <v>0</v>
      </c>
      <c r="H21" s="71"/>
      <c r="K21" s="71"/>
    </row>
    <row r="22" spans="1:11" s="61" customFormat="1" ht="24" customHeight="1" x14ac:dyDescent="0.35">
      <c r="E22" s="454" t="s">
        <v>216</v>
      </c>
      <c r="F22" s="454"/>
      <c r="G22" s="73">
        <f>G23-G21</f>
        <v>0</v>
      </c>
      <c r="H22" s="71"/>
    </row>
    <row r="23" spans="1:11" s="61" customFormat="1" ht="24" customHeight="1" x14ac:dyDescent="0.35">
      <c r="A23" s="70"/>
      <c r="B23" s="70"/>
      <c r="E23" s="454" t="s">
        <v>217</v>
      </c>
      <c r="F23" s="454"/>
      <c r="G23" s="74">
        <f>G21*1.18</f>
        <v>0</v>
      </c>
      <c r="H23" s="75"/>
      <c r="K23" s="65"/>
    </row>
    <row r="24" spans="1:11" s="61" customFormat="1" ht="15.5" x14ac:dyDescent="0.35"/>
    <row r="25" spans="1:11" s="61" customFormat="1" ht="15.5" x14ac:dyDescent="0.35"/>
    <row r="26" spans="1:11" s="61" customFormat="1" ht="15.5" x14ac:dyDescent="0.35">
      <c r="A26" s="76" t="s">
        <v>218</v>
      </c>
      <c r="B26" s="77"/>
    </row>
    <row r="27" spans="1:11" s="58" customFormat="1" ht="14.5" x14ac:dyDescent="0.35"/>
    <row r="28" spans="1:11" s="80" customFormat="1" ht="29.25" customHeight="1" x14ac:dyDescent="0.35">
      <c r="A28" s="78" t="s">
        <v>219</v>
      </c>
      <c r="B28" s="78"/>
      <c r="C28" s="79" t="s">
        <v>220</v>
      </c>
      <c r="D28" s="78"/>
    </row>
    <row r="29" spans="1:11" s="80" customFormat="1" ht="29.25" customHeight="1" x14ac:dyDescent="0.35">
      <c r="A29" s="78" t="s">
        <v>221</v>
      </c>
      <c r="B29" s="78"/>
      <c r="C29" s="79" t="s">
        <v>222</v>
      </c>
      <c r="D29" s="78"/>
    </row>
    <row r="30" spans="1:11" s="80" customFormat="1" ht="29.25" customHeight="1" x14ac:dyDescent="0.35">
      <c r="A30" s="78" t="s">
        <v>223</v>
      </c>
      <c r="B30" s="78"/>
      <c r="C30" s="81" t="s">
        <v>224</v>
      </c>
      <c r="D30" s="78"/>
    </row>
    <row r="31" spans="1:11" s="58" customFormat="1" ht="14.5" x14ac:dyDescent="0.35"/>
    <row r="32" spans="1:11" s="58" customFormat="1" ht="14.5" x14ac:dyDescent="0.35"/>
    <row r="33" spans="1:11" s="58" customFormat="1" ht="14.5" x14ac:dyDescent="0.35">
      <c r="A33" s="63"/>
      <c r="B33" s="63"/>
      <c r="C33" s="63"/>
      <c r="D33" s="63"/>
      <c r="E33" s="63"/>
      <c r="F33" s="63"/>
    </row>
    <row r="34" spans="1:11" s="61" customFormat="1" ht="15.5" x14ac:dyDescent="0.35">
      <c r="A34" s="82"/>
      <c r="B34" s="82"/>
      <c r="C34" s="82"/>
      <c r="D34" s="63"/>
      <c r="E34" s="63"/>
      <c r="F34" s="63"/>
      <c r="G34" s="63"/>
      <c r="I34" s="71"/>
      <c r="J34" s="71"/>
      <c r="K34" s="71"/>
    </row>
    <row r="35" spans="1:11" s="61" customFormat="1" ht="15.5" x14ac:dyDescent="0.35">
      <c r="A35" s="52" t="s">
        <v>225</v>
      </c>
      <c r="B35" s="52"/>
      <c r="C35" s="52"/>
      <c r="D35" s="83"/>
      <c r="E35" s="83"/>
      <c r="F35" s="63"/>
      <c r="G35" s="83"/>
    </row>
    <row r="36" spans="1:11" s="58" customFormat="1" ht="14.5" x14ac:dyDescent="0.35"/>
    <row r="37" spans="1:11" s="58" customFormat="1" ht="14.5" x14ac:dyDescent="0.35"/>
    <row r="38" spans="1:11" s="58" customFormat="1" ht="14.5" x14ac:dyDescent="0.35"/>
    <row r="39" spans="1:11" s="58" customFormat="1" ht="14.5" x14ac:dyDescent="0.35"/>
    <row r="40" spans="1:11" s="58" customFormat="1" ht="14.5" x14ac:dyDescent="0.35"/>
    <row r="41" spans="1:11" s="58" customFormat="1" ht="14.5" x14ac:dyDescent="0.35"/>
    <row r="42" spans="1:11" s="58" customFormat="1" ht="14.5" x14ac:dyDescent="0.35"/>
  </sheetData>
  <mergeCells count="13">
    <mergeCell ref="E23:F23"/>
    <mergeCell ref="A18:B18"/>
    <mergeCell ref="C18:D18"/>
    <mergeCell ref="A19:B19"/>
    <mergeCell ref="C19:D19"/>
    <mergeCell ref="E21:F21"/>
    <mergeCell ref="E22:F22"/>
    <mergeCell ref="B8:C8"/>
    <mergeCell ref="B9:C9"/>
    <mergeCell ref="B10:C10"/>
    <mergeCell ref="F14:G14"/>
    <mergeCell ref="A17:B17"/>
    <mergeCell ref="C17:D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45"/>
  <sheetViews>
    <sheetView workbookViewId="0">
      <selection activeCell="L17" sqref="L17"/>
    </sheetView>
  </sheetViews>
  <sheetFormatPr defaultColWidth="9.1796875" defaultRowHeight="16" x14ac:dyDescent="0.35"/>
  <cols>
    <col min="1" max="1" width="12" style="51" customWidth="1"/>
    <col min="2" max="2" width="4.1796875" style="51" customWidth="1"/>
    <col min="3" max="3" width="15.7265625" style="51" customWidth="1"/>
    <col min="4" max="4" width="12.81640625" style="51" customWidth="1"/>
    <col min="5" max="5" width="15.54296875" style="51" bestFit="1" customWidth="1"/>
    <col min="6" max="6" width="5.7265625" style="51" customWidth="1"/>
    <col min="7" max="7" width="11.26953125" style="51" bestFit="1" customWidth="1"/>
    <col min="8" max="9" width="4.81640625" style="51" bestFit="1" customWidth="1"/>
    <col min="10" max="10" width="4.54296875" style="51" bestFit="1" customWidth="1"/>
    <col min="11" max="16384" width="9.1796875" style="51"/>
  </cols>
  <sheetData>
    <row r="1" spans="1:12" x14ac:dyDescent="0.35">
      <c r="C1" s="52" t="s">
        <v>196</v>
      </c>
      <c r="F1" s="53" t="s">
        <v>197</v>
      </c>
      <c r="I1" s="54"/>
      <c r="J1" s="53"/>
      <c r="K1" s="55"/>
      <c r="L1" s="56"/>
    </row>
    <row r="2" spans="1:12" x14ac:dyDescent="0.35">
      <c r="C2" s="53" t="s">
        <v>198</v>
      </c>
      <c r="F2" s="53" t="s">
        <v>199</v>
      </c>
      <c r="I2" s="54"/>
      <c r="J2" s="53"/>
      <c r="K2" s="55"/>
      <c r="L2" s="56"/>
    </row>
    <row r="3" spans="1:12" x14ac:dyDescent="0.35">
      <c r="C3" s="53" t="s">
        <v>200</v>
      </c>
      <c r="F3" s="53" t="s">
        <v>201</v>
      </c>
      <c r="I3" s="54"/>
      <c r="J3" s="53"/>
      <c r="K3" s="55"/>
      <c r="L3" s="56"/>
    </row>
    <row r="4" spans="1:12" x14ac:dyDescent="0.35">
      <c r="C4" s="53" t="s">
        <v>202</v>
      </c>
      <c r="F4" s="53"/>
      <c r="H4" s="53"/>
      <c r="I4" s="54"/>
      <c r="J4" s="53"/>
      <c r="K4" s="55"/>
      <c r="L4" s="56"/>
    </row>
    <row r="5" spans="1:12" x14ac:dyDescent="0.35">
      <c r="G5" s="56"/>
      <c r="H5" s="56"/>
      <c r="J5" s="56"/>
      <c r="K5" s="55"/>
      <c r="L5" s="56"/>
    </row>
    <row r="6" spans="1:12" s="58" customFormat="1" ht="18.5" x14ac:dyDescent="0.35">
      <c r="A6" s="57" t="s">
        <v>226</v>
      </c>
      <c r="B6" s="57"/>
    </row>
    <row r="7" spans="1:12" s="58" customFormat="1" ht="14.5" x14ac:dyDescent="0.35"/>
    <row r="8" spans="1:12" s="61" customFormat="1" ht="17.25" customHeight="1" x14ac:dyDescent="0.35">
      <c r="A8" s="59" t="s">
        <v>13</v>
      </c>
      <c r="B8" s="448" t="str">
        <f>[1]Job!A5</f>
        <v>000</v>
      </c>
      <c r="C8" s="448"/>
      <c r="D8" s="58"/>
      <c r="E8" s="60" t="s">
        <v>227</v>
      </c>
      <c r="F8" s="59" t="str">
        <f>'[1]tank general information'!C5</f>
        <v>Greta Balzan</v>
      </c>
      <c r="G8" s="59"/>
      <c r="H8" s="58"/>
      <c r="I8" s="58"/>
      <c r="J8" s="58"/>
    </row>
    <row r="9" spans="1:12" s="61" customFormat="1" ht="17.25" customHeight="1" x14ac:dyDescent="0.35">
      <c r="A9" s="59" t="s">
        <v>1</v>
      </c>
      <c r="B9" s="449">
        <f>'[1]tank general information'!C2</f>
        <v>44253</v>
      </c>
      <c r="C9" s="449"/>
      <c r="D9" s="58"/>
      <c r="E9" s="60" t="s">
        <v>206</v>
      </c>
      <c r="F9" s="59" t="str">
        <f>'[1]tank general information'!K2</f>
        <v>No. 4,</v>
      </c>
      <c r="G9" s="59"/>
      <c r="H9" s="58"/>
      <c r="I9" s="58"/>
      <c r="J9" s="58"/>
    </row>
    <row r="10" spans="1:12" s="61" customFormat="1" ht="17.25" customHeight="1" x14ac:dyDescent="0.35">
      <c r="A10" s="59" t="s">
        <v>207</v>
      </c>
      <c r="B10" s="450" t="str">
        <f>'[1]tank general information'!C3</f>
        <v>Q000</v>
      </c>
      <c r="C10" s="450"/>
      <c r="D10" s="58"/>
      <c r="E10" s="62"/>
      <c r="F10" s="59" t="str">
        <f>'[1]tank general information'!K3</f>
        <v>Triq ABC,</v>
      </c>
      <c r="G10" s="59"/>
      <c r="H10" s="58"/>
      <c r="I10" s="58"/>
      <c r="J10" s="58"/>
    </row>
    <row r="11" spans="1:12" s="61" customFormat="1" ht="17.25" customHeight="1" x14ac:dyDescent="0.35">
      <c r="A11" s="59"/>
      <c r="B11" s="59"/>
      <c r="C11" s="59"/>
      <c r="D11" s="58"/>
      <c r="E11" s="62"/>
      <c r="F11" s="59" t="str">
        <f>'[1]tank general information'!K4</f>
        <v>Marsa, MRS 3000</v>
      </c>
      <c r="G11" s="59"/>
      <c r="H11" s="58"/>
      <c r="I11" s="58"/>
      <c r="J11" s="58"/>
    </row>
    <row r="12" spans="1:12" s="61" customFormat="1" ht="15.5" x14ac:dyDescent="0.35">
      <c r="A12" s="58"/>
      <c r="B12" s="58"/>
      <c r="C12" s="58"/>
      <c r="D12" s="58"/>
      <c r="E12" s="62"/>
      <c r="F12" s="59"/>
      <c r="G12" s="59"/>
      <c r="H12" s="58"/>
      <c r="I12" s="58"/>
      <c r="J12" s="58"/>
    </row>
    <row r="13" spans="1:12" s="61" customFormat="1" ht="15.5" x14ac:dyDescent="0.35">
      <c r="A13" s="62" t="s">
        <v>208</v>
      </c>
      <c r="C13" s="63" t="str">
        <f>'[1]tank general information'!K5</f>
        <v>MT 0000-0000</v>
      </c>
      <c r="D13" s="58"/>
      <c r="E13" s="60" t="s">
        <v>2</v>
      </c>
      <c r="F13" s="59" t="str">
        <f>'[1]tank general information'!P2</f>
        <v>Greta Balzan</v>
      </c>
      <c r="G13" s="59"/>
      <c r="H13" s="59"/>
      <c r="I13" s="58"/>
      <c r="J13" s="58"/>
    </row>
    <row r="14" spans="1:12" s="61" customFormat="1" ht="15.5" x14ac:dyDescent="0.35">
      <c r="A14" s="62" t="s">
        <v>6</v>
      </c>
      <c r="C14" s="59" t="str">
        <f>'[1]tank general information'!P4</f>
        <v>LPO000</v>
      </c>
      <c r="D14" s="58"/>
      <c r="E14" s="60" t="s">
        <v>4</v>
      </c>
      <c r="F14" s="450">
        <f>'[1]tank general information'!P3</f>
        <v>99474943</v>
      </c>
      <c r="G14" s="450"/>
      <c r="H14" s="59"/>
      <c r="I14" s="58"/>
      <c r="J14" s="58"/>
    </row>
    <row r="15" spans="1:12" s="61" customFormat="1" ht="15.5" x14ac:dyDescent="0.35">
      <c r="A15" s="62"/>
      <c r="C15" s="63"/>
      <c r="D15" s="58"/>
      <c r="E15" s="60"/>
      <c r="F15" s="59"/>
      <c r="G15" s="59"/>
      <c r="H15" s="59"/>
      <c r="I15" s="58"/>
      <c r="J15" s="58"/>
    </row>
    <row r="16" spans="1:12" s="61" customFormat="1" ht="15.5" x14ac:dyDescent="0.35"/>
    <row r="17" spans="1:11" s="61" customFormat="1" ht="15.5" x14ac:dyDescent="0.35">
      <c r="A17" s="462" t="s">
        <v>210</v>
      </c>
      <c r="B17" s="463"/>
      <c r="C17" s="463"/>
      <c r="D17" s="464"/>
      <c r="E17" s="64" t="s">
        <v>211</v>
      </c>
      <c r="F17" s="64" t="s">
        <v>212</v>
      </c>
      <c r="G17" s="64" t="s">
        <v>213</v>
      </c>
      <c r="H17" s="64" t="s">
        <v>214</v>
      </c>
      <c r="K17" s="65"/>
    </row>
    <row r="18" spans="1:11" s="61" customFormat="1" ht="15.5" x14ac:dyDescent="0.35">
      <c r="A18" s="459" t="str">
        <f>'[1]tank general information'!K6</f>
        <v>1-sentence description</v>
      </c>
      <c r="B18" s="460"/>
      <c r="C18" s="460"/>
      <c r="D18" s="461"/>
      <c r="E18" s="66">
        <v>1</v>
      </c>
      <c r="F18" s="67">
        <v>1</v>
      </c>
      <c r="G18" s="66">
        <f>F18*E18</f>
        <v>1</v>
      </c>
      <c r="H18" s="68">
        <v>0.18</v>
      </c>
      <c r="K18" s="69"/>
    </row>
    <row r="19" spans="1:11" s="61" customFormat="1" ht="15.5" x14ac:dyDescent="0.35">
      <c r="A19" s="459"/>
      <c r="B19" s="460"/>
      <c r="C19" s="460"/>
      <c r="D19" s="461"/>
      <c r="E19" s="66">
        <v>1</v>
      </c>
      <c r="F19" s="67">
        <v>2</v>
      </c>
      <c r="G19" s="66">
        <f>F19*E19</f>
        <v>2</v>
      </c>
      <c r="H19" s="68">
        <v>0.18</v>
      </c>
      <c r="K19" s="69"/>
    </row>
    <row r="20" spans="1:11" s="61" customFormat="1" ht="15.5" x14ac:dyDescent="0.35">
      <c r="A20" s="459"/>
      <c r="B20" s="460"/>
      <c r="C20" s="460"/>
      <c r="D20" s="461"/>
      <c r="E20" s="66">
        <v>1</v>
      </c>
      <c r="F20" s="67">
        <v>1</v>
      </c>
      <c r="G20" s="66">
        <f>F20*E20</f>
        <v>1</v>
      </c>
      <c r="H20" s="68">
        <v>0.18</v>
      </c>
      <c r="K20" s="69"/>
    </row>
    <row r="21" spans="1:11" s="61" customFormat="1" ht="15.5" x14ac:dyDescent="0.35">
      <c r="A21" s="459"/>
      <c r="B21" s="460"/>
      <c r="C21" s="460"/>
      <c r="D21" s="461"/>
      <c r="E21" s="66">
        <v>1</v>
      </c>
      <c r="F21" s="67">
        <v>1</v>
      </c>
      <c r="G21" s="66">
        <f>F21*E21</f>
        <v>1</v>
      </c>
      <c r="H21" s="68">
        <v>0.18</v>
      </c>
      <c r="K21" s="69"/>
    </row>
    <row r="22" spans="1:11" s="61" customFormat="1" ht="15.5" x14ac:dyDescent="0.35">
      <c r="A22" s="459"/>
      <c r="B22" s="460"/>
      <c r="C22" s="460"/>
      <c r="D22" s="461"/>
      <c r="E22" s="66">
        <v>1</v>
      </c>
      <c r="F22" s="67">
        <v>1</v>
      </c>
      <c r="G22" s="66">
        <f>F22*E22</f>
        <v>1</v>
      </c>
      <c r="H22" s="68">
        <v>0.18</v>
      </c>
      <c r="K22" s="69"/>
    </row>
    <row r="23" spans="1:11" s="61" customFormat="1" ht="15.5" x14ac:dyDescent="0.35">
      <c r="A23" s="70"/>
      <c r="B23" s="70"/>
      <c r="E23" s="71"/>
      <c r="F23" s="71"/>
      <c r="G23" s="71"/>
      <c r="H23" s="72"/>
      <c r="K23" s="72"/>
    </row>
    <row r="24" spans="1:11" s="61" customFormat="1" ht="15.5" x14ac:dyDescent="0.35">
      <c r="A24" s="70"/>
      <c r="B24" s="70"/>
      <c r="E24" s="458" t="s">
        <v>215</v>
      </c>
      <c r="F24" s="458"/>
      <c r="G24" s="73">
        <f>SUM(G18:G23)</f>
        <v>6</v>
      </c>
      <c r="H24" s="71"/>
      <c r="K24" s="71"/>
    </row>
    <row r="25" spans="1:11" s="61" customFormat="1" ht="15.5" x14ac:dyDescent="0.35">
      <c r="E25" s="454" t="s">
        <v>216</v>
      </c>
      <c r="F25" s="454"/>
      <c r="G25" s="73">
        <f>G26-G24</f>
        <v>1.08</v>
      </c>
      <c r="H25" s="71"/>
    </row>
    <row r="26" spans="1:11" s="61" customFormat="1" ht="15.5" x14ac:dyDescent="0.35">
      <c r="A26" s="70"/>
      <c r="B26" s="70"/>
      <c r="E26" s="454" t="s">
        <v>217</v>
      </c>
      <c r="F26" s="454"/>
      <c r="G26" s="74">
        <f>G24*1.18</f>
        <v>7.08</v>
      </c>
      <c r="H26" s="75"/>
      <c r="K26" s="65"/>
    </row>
    <row r="27" spans="1:11" s="61" customFormat="1" ht="15.5" x14ac:dyDescent="0.35"/>
    <row r="28" spans="1:11" s="61" customFormat="1" ht="15.5" x14ac:dyDescent="0.35">
      <c r="A28" s="76" t="s">
        <v>218</v>
      </c>
      <c r="B28" s="77"/>
    </row>
    <row r="29" spans="1:11" s="61" customFormat="1" ht="15.5" x14ac:dyDescent="0.35">
      <c r="A29" s="76"/>
      <c r="B29" s="77"/>
    </row>
    <row r="30" spans="1:11" s="58" customFormat="1" ht="14.5" x14ac:dyDescent="0.35">
      <c r="A30" s="84" t="s">
        <v>219</v>
      </c>
      <c r="B30" s="84"/>
      <c r="C30" s="85"/>
      <c r="D30" s="84"/>
    </row>
    <row r="31" spans="1:11" s="58" customFormat="1" ht="14.5" x14ac:dyDescent="0.35">
      <c r="A31" s="84" t="s">
        <v>221</v>
      </c>
      <c r="B31" s="84"/>
      <c r="C31" s="85"/>
      <c r="D31" s="84"/>
    </row>
    <row r="32" spans="1:11" s="58" customFormat="1" ht="14.5" x14ac:dyDescent="0.35">
      <c r="A32" s="84" t="s">
        <v>223</v>
      </c>
      <c r="B32" s="84"/>
      <c r="C32" s="85"/>
      <c r="D32" s="84"/>
    </row>
    <row r="33" spans="1:11" s="58" customFormat="1" ht="14.5" x14ac:dyDescent="0.35">
      <c r="A33" s="84"/>
      <c r="B33" s="84"/>
      <c r="C33" s="84"/>
      <c r="D33" s="84"/>
    </row>
    <row r="34" spans="1:11" s="58" customFormat="1" ht="15.5" x14ac:dyDescent="0.35">
      <c r="K34" s="86"/>
    </row>
    <row r="35" spans="1:11" s="58" customFormat="1" ht="15.5" x14ac:dyDescent="0.35">
      <c r="K35" s="86"/>
    </row>
    <row r="36" spans="1:11" s="58" customFormat="1" ht="26.25" customHeight="1" x14ac:dyDescent="0.35">
      <c r="A36" s="58" t="s">
        <v>228</v>
      </c>
      <c r="B36" s="63"/>
      <c r="C36" s="63"/>
      <c r="D36" s="63"/>
      <c r="E36" s="63"/>
      <c r="F36" s="63"/>
      <c r="K36" s="86"/>
    </row>
    <row r="37" spans="1:11" s="61" customFormat="1" ht="26.25" customHeight="1" x14ac:dyDescent="0.35">
      <c r="A37" s="58" t="s">
        <v>229</v>
      </c>
      <c r="B37" s="63"/>
      <c r="C37" s="63"/>
      <c r="D37" s="63"/>
      <c r="E37" s="63"/>
      <c r="F37" s="63"/>
      <c r="G37" s="63"/>
      <c r="I37" s="71"/>
      <c r="J37" s="71"/>
      <c r="K37" s="86"/>
    </row>
    <row r="38" spans="1:11" s="61" customFormat="1" ht="15.5" x14ac:dyDescent="0.35">
      <c r="A38" s="83"/>
      <c r="B38" s="83"/>
      <c r="C38" s="83"/>
      <c r="D38" s="83"/>
      <c r="E38" s="83"/>
      <c r="F38" s="63"/>
      <c r="G38" s="83"/>
    </row>
    <row r="39" spans="1:11" s="58" customFormat="1" ht="14.5" x14ac:dyDescent="0.35">
      <c r="A39" s="63"/>
      <c r="B39" s="63"/>
      <c r="C39" s="63"/>
      <c r="D39" s="63"/>
      <c r="E39" s="63"/>
      <c r="F39" s="63"/>
      <c r="G39" s="63"/>
    </row>
    <row r="40" spans="1:11" s="58" customFormat="1" ht="14.5" x14ac:dyDescent="0.35"/>
    <row r="41" spans="1:11" s="58" customFormat="1" ht="23" x14ac:dyDescent="0.7">
      <c r="H41" s="87" t="s">
        <v>230</v>
      </c>
    </row>
    <row r="42" spans="1:11" s="58" customFormat="1" ht="14.5" x14ac:dyDescent="0.35"/>
    <row r="43" spans="1:11" s="58" customFormat="1" ht="14.5" x14ac:dyDescent="0.35"/>
    <row r="44" spans="1:11" s="58" customFormat="1" ht="14.5" x14ac:dyDescent="0.35"/>
    <row r="45" spans="1:11" s="58" customFormat="1" ht="14.5" x14ac:dyDescent="0.35"/>
  </sheetData>
  <mergeCells count="13">
    <mergeCell ref="E26:F26"/>
    <mergeCell ref="A19:D19"/>
    <mergeCell ref="A20:D20"/>
    <mergeCell ref="A21:D21"/>
    <mergeCell ref="A22:D22"/>
    <mergeCell ref="E24:F24"/>
    <mergeCell ref="E25:F25"/>
    <mergeCell ref="A18:D18"/>
    <mergeCell ref="B8:C8"/>
    <mergeCell ref="B9:C9"/>
    <mergeCell ref="B10:C10"/>
    <mergeCell ref="F14:G14"/>
    <mergeCell ref="A17:D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8"/>
  <sheetViews>
    <sheetView workbookViewId="0">
      <selection activeCell="J18" sqref="I17:J18"/>
    </sheetView>
  </sheetViews>
  <sheetFormatPr defaultRowHeight="14.5" x14ac:dyDescent="0.35"/>
  <cols>
    <col min="1" max="1" width="16.26953125" customWidth="1"/>
  </cols>
  <sheetData>
    <row r="1" spans="1:2" x14ac:dyDescent="0.35">
      <c r="A1" t="s">
        <v>258</v>
      </c>
      <c r="B1" t="s">
        <v>266</v>
      </c>
    </row>
    <row r="2" spans="1:2" x14ac:dyDescent="0.35">
      <c r="A2" t="s">
        <v>259</v>
      </c>
      <c r="B2" t="s">
        <v>267</v>
      </c>
    </row>
    <row r="3" spans="1:2" x14ac:dyDescent="0.35">
      <c r="A3" t="s">
        <v>260</v>
      </c>
      <c r="B3" t="s">
        <v>268</v>
      </c>
    </row>
    <row r="4" spans="1:2" x14ac:dyDescent="0.35">
      <c r="A4" t="s">
        <v>261</v>
      </c>
      <c r="B4" t="s">
        <v>269</v>
      </c>
    </row>
    <row r="5" spans="1:2" x14ac:dyDescent="0.35">
      <c r="A5" t="s">
        <v>262</v>
      </c>
      <c r="B5" t="s">
        <v>270</v>
      </c>
    </row>
    <row r="6" spans="1:2" x14ac:dyDescent="0.35">
      <c r="A6" t="s">
        <v>263</v>
      </c>
      <c r="B6" t="s">
        <v>251</v>
      </c>
    </row>
    <row r="7" spans="1:2" x14ac:dyDescent="0.35">
      <c r="A7" t="s">
        <v>264</v>
      </c>
      <c r="B7" t="s">
        <v>251</v>
      </c>
    </row>
    <row r="8" spans="1:2" x14ac:dyDescent="0.35">
      <c r="A8" t="s">
        <v>265</v>
      </c>
      <c r="B8" t="s">
        <v>271</v>
      </c>
    </row>
  </sheetData>
  <sheetProtection algorithmName="SHA-512" hashValue="OQnP9aRyUUwz0KkSYQOBSA579tVR8t3MQSKhjMPnPlKJoNeRkPwcMRSkj/ZB6ScaSXf/mUSOojYPMkuPm6LDjg==" saltValue="rPJlLQy8UL6WLYBDcFI0i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info</vt:lpstr>
      <vt:lpstr>Drawing &amp; Notes</vt:lpstr>
      <vt:lpstr>Parts Cal</vt:lpstr>
      <vt:lpstr>Cylinder Cal</vt:lpstr>
      <vt:lpstr>Vetro Resina Info</vt:lpstr>
      <vt:lpstr>Job Card</vt:lpstr>
      <vt:lpstr>Order</vt:lpstr>
      <vt:lpstr>Formal Order</vt:lpstr>
      <vt:lpstr>PW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Silvercraft</dc:creator>
  <cp:lastModifiedBy>Alexander Micallef</cp:lastModifiedBy>
  <dcterms:created xsi:type="dcterms:W3CDTF">2021-05-06T11:51:24Z</dcterms:created>
  <dcterms:modified xsi:type="dcterms:W3CDTF">2022-02-06T19:36:49Z</dcterms:modified>
</cp:coreProperties>
</file>