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mail-my.sharepoint.com/personal/b51058_fgv_edu_br/Documents/FGV/Matérias/Quarto Semestre/Monitoria/"/>
    </mc:Choice>
  </mc:AlternateContent>
  <xr:revisionPtr revIDLastSave="713" documentId="8_{E6354D8D-33A7-49D2-8F30-040CE0DEB602}" xr6:coauthVersionLast="47" xr6:coauthVersionMax="47" xr10:uidLastSave="{9D4DF62D-F390-4B62-8EC3-2E38ABBF08B6}"/>
  <bookViews>
    <workbookView xWindow="-108" yWindow="-108" windowWidth="23256" windowHeight="12456" firstSheet="1" activeTab="5" xr2:uid="{F1DB8A6E-8B16-4DE3-BB04-7CB953E60EDA}"/>
  </bookViews>
  <sheets>
    <sheet name="Veículos" sheetId="1" r:id="rId1"/>
    <sheet name="Análise Unidimensional" sheetId="2" r:id="rId2"/>
    <sheet name="Análise 3" sheetId="4" r:id="rId3"/>
    <sheet name="Análise 4" sheetId="7" r:id="rId4"/>
    <sheet name="Análise 5" sheetId="6" r:id="rId5"/>
    <sheet name="Análise 6" sheetId="5" r:id="rId6"/>
    <sheet name="Análise 7" sheetId="9" r:id="rId7"/>
    <sheet name="Box_Plot_aux" sheetId="8" r:id="rId8"/>
  </sheets>
  <definedNames>
    <definedName name="_xlchart.v1.0" hidden="1">Box_Plot_aux!$A$1</definedName>
    <definedName name="_xlchart.v1.1" hidden="1">Box_Plot_aux!$A$2:$A$31</definedName>
    <definedName name="_xlchart.v1.2" hidden="1">Box_Plot_aux!$B$1</definedName>
    <definedName name="_xlchart.v1.3" hidden="1">Box_Plot_aux!$B$2:$B$31</definedName>
    <definedName name="_xlchart.v1.4" hidden="1">Box_Plot_aux!$D$1</definedName>
    <definedName name="_xlchart.v1.5" hidden="1">Box_Plot_aux!$D$2:$D$31</definedName>
    <definedName name="_xlchart.v1.6" hidden="1">Box_Plot_aux!$E$1</definedName>
    <definedName name="_xlchart.v1.7" hidden="1">Box_Plot_aux!$E$2:$E$31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5" l="1" a="1"/>
  <c r="C20" i="5"/>
  <c r="C20" i="4" a="1"/>
  <c r="C20" i="4" s="1"/>
  <c r="F3" i="9"/>
  <c r="A2" i="8" a="1"/>
  <c r="A2" i="8" s="1"/>
  <c r="E3" i="9" a="1"/>
  <c r="E3" i="9" s="1"/>
  <c r="B2" i="8" a="1"/>
  <c r="B2" i="8" s="1"/>
  <c r="D13" i="2"/>
  <c r="P13" i="2"/>
  <c r="O10" i="2"/>
  <c r="O6" i="2"/>
  <c r="O13" i="2"/>
  <c r="M14" i="2"/>
  <c r="N14" i="2" s="1"/>
  <c r="J13" i="2"/>
  <c r="G14" i="2"/>
  <c r="H14" i="2" s="1"/>
  <c r="I13" i="2"/>
  <c r="A14" i="2"/>
  <c r="B14" i="2" s="1"/>
  <c r="C14" i="2" s="1"/>
  <c r="C13" i="2"/>
  <c r="C22" i="5"/>
  <c r="P14" i="2" l="1"/>
  <c r="O14" i="2"/>
  <c r="M15" i="2"/>
  <c r="J14" i="2"/>
  <c r="G15" i="2"/>
  <c r="D14" i="2"/>
  <c r="A15" i="2"/>
  <c r="C21" i="5"/>
  <c r="C22" i="4"/>
  <c r="C21" i="4"/>
  <c r="N15" i="2" l="1"/>
  <c r="M16" i="2" s="1"/>
  <c r="I14" i="2"/>
  <c r="H15" i="2"/>
  <c r="G16" i="2" s="1"/>
  <c r="B15" i="2"/>
  <c r="A16" i="2" s="1"/>
  <c r="P15" i="2" l="1"/>
  <c r="O15" i="2"/>
  <c r="N16" i="2"/>
  <c r="M17" i="2" s="1"/>
  <c r="J15" i="2"/>
  <c r="D15" i="2"/>
  <c r="H16" i="2"/>
  <c r="G17" i="2" s="1"/>
  <c r="I15" i="2"/>
  <c r="C15" i="2"/>
  <c r="B16" i="2"/>
  <c r="A17" i="2" s="1"/>
  <c r="P16" i="2" l="1"/>
  <c r="O16" i="2"/>
  <c r="N17" i="2"/>
  <c r="O17" i="2" s="1"/>
  <c r="J16" i="2"/>
  <c r="H17" i="2"/>
  <c r="G18" i="2" s="1"/>
  <c r="I16" i="2"/>
  <c r="D16" i="2"/>
  <c r="B17" i="2"/>
  <c r="C17" i="2" s="1"/>
  <c r="C16" i="2"/>
  <c r="P17" i="2" l="1"/>
  <c r="J17" i="2"/>
  <c r="H18" i="2"/>
  <c r="I18" i="2" s="1"/>
  <c r="I17" i="2"/>
  <c r="D17" i="2"/>
  <c r="J18" i="2" l="1"/>
  <c r="I10" i="2" l="1"/>
  <c r="I6" i="2"/>
  <c r="I7" i="2"/>
  <c r="C10" i="2"/>
  <c r="C6" i="2"/>
  <c r="C7" i="2"/>
  <c r="M7" i="9"/>
  <c r="K4" i="9" a="1"/>
  <c r="K4" i="9"/>
  <c r="K3" i="9" a="1"/>
  <c r="K3" i="9"/>
  <c r="J4" i="9" a="1"/>
  <c r="J4" i="9" s="1"/>
  <c r="J3" i="9" a="1"/>
  <c r="J3" i="9" s="1"/>
  <c r="I4" i="9" a="1"/>
  <c r="I4" i="9"/>
  <c r="I3" i="9" a="1"/>
  <c r="I3" i="9" s="1"/>
  <c r="H4" i="9" a="1"/>
  <c r="H4" i="9" s="1"/>
  <c r="H3" i="9" a="1"/>
  <c r="H3" i="9" s="1"/>
  <c r="G4" i="9" a="1"/>
  <c r="G4" i="9" s="1"/>
  <c r="G3" i="9" a="1"/>
  <c r="G3" i="9" s="1"/>
  <c r="E4" i="9" a="1"/>
  <c r="E4" i="9" s="1"/>
  <c r="F4" i="9" s="1"/>
  <c r="D4" i="9"/>
  <c r="D3" i="9"/>
  <c r="C4" i="9"/>
  <c r="C3" i="9"/>
  <c r="E2" i="8" a="1"/>
  <c r="E2" i="8" s="1"/>
  <c r="D2" i="8" a="1"/>
  <c r="D2" i="8" s="1"/>
  <c r="C16" i="5" l="1"/>
  <c r="E12" i="5"/>
  <c r="F10" i="5"/>
  <c r="C10" i="5"/>
  <c r="E17" i="5"/>
  <c r="F12" i="5"/>
  <c r="D12" i="5"/>
  <c r="C12" i="5"/>
  <c r="F11" i="5"/>
  <c r="D17" i="5" s="1"/>
  <c r="E11" i="5"/>
  <c r="D11" i="5"/>
  <c r="C11" i="5"/>
  <c r="E16" i="5"/>
  <c r="E18" i="5" s="1"/>
  <c r="E10" i="5"/>
  <c r="D10" i="5"/>
  <c r="F17" i="4"/>
  <c r="F16" i="4"/>
  <c r="D18" i="4"/>
  <c r="E18" i="4"/>
  <c r="C18" i="4"/>
  <c r="D17" i="4"/>
  <c r="E17" i="4"/>
  <c r="D16" i="4"/>
  <c r="E16" i="4"/>
  <c r="C17" i="4"/>
  <c r="C16" i="4"/>
  <c r="E11" i="4"/>
  <c r="F11" i="4"/>
  <c r="E12" i="4"/>
  <c r="F12" i="4"/>
  <c r="F10" i="4"/>
  <c r="C11" i="4"/>
  <c r="D11" i="4"/>
  <c r="C12" i="4"/>
  <c r="D12" i="4"/>
  <c r="D10" i="4"/>
  <c r="E10" i="4"/>
  <c r="C10" i="4"/>
  <c r="U4" i="2"/>
  <c r="U3" i="2"/>
  <c r="O9" i="2"/>
  <c r="O7" i="2"/>
  <c r="O8" i="2"/>
  <c r="O4" i="2"/>
  <c r="O5" i="2" s="1"/>
  <c r="O3" i="2"/>
  <c r="E6" i="6" s="1"/>
  <c r="I9" i="2"/>
  <c r="I8" i="2"/>
  <c r="I4" i="2"/>
  <c r="I5" i="2" s="1"/>
  <c r="I3" i="2"/>
  <c r="C9" i="2"/>
  <c r="C8" i="2"/>
  <c r="C4" i="2"/>
  <c r="C3" i="2"/>
  <c r="D14" i="6" s="1"/>
  <c r="E31" i="6" l="1"/>
  <c r="G6" i="6"/>
  <c r="E7" i="6"/>
  <c r="G7" i="6" s="1"/>
  <c r="E23" i="6"/>
  <c r="G23" i="6" s="1"/>
  <c r="E22" i="6"/>
  <c r="G22" i="6" s="1"/>
  <c r="E30" i="6"/>
  <c r="G30" i="6" s="1"/>
  <c r="E15" i="6"/>
  <c r="G15" i="6" s="1"/>
  <c r="E14" i="6"/>
  <c r="G14" i="6" s="1"/>
  <c r="D25" i="6"/>
  <c r="D17" i="6"/>
  <c r="D9" i="6"/>
  <c r="D2" i="6"/>
  <c r="D24" i="6"/>
  <c r="D16" i="6"/>
  <c r="D8" i="6"/>
  <c r="G2" i="1"/>
  <c r="G10" i="1"/>
  <c r="G18" i="1"/>
  <c r="G26" i="1"/>
  <c r="G5" i="1"/>
  <c r="G13" i="1"/>
  <c r="G21" i="1"/>
  <c r="G29" i="1"/>
  <c r="G22" i="1"/>
  <c r="G3" i="1"/>
  <c r="G11" i="1"/>
  <c r="G19" i="1"/>
  <c r="G27" i="1"/>
  <c r="G14" i="1"/>
  <c r="G30" i="1"/>
  <c r="G7" i="1"/>
  <c r="G15" i="1"/>
  <c r="G8" i="1"/>
  <c r="G24" i="1"/>
  <c r="G4" i="1"/>
  <c r="G12" i="1"/>
  <c r="G20" i="1"/>
  <c r="G28" i="1"/>
  <c r="G6" i="1"/>
  <c r="G23" i="1"/>
  <c r="G31" i="1"/>
  <c r="G16" i="1"/>
  <c r="G9" i="1"/>
  <c r="G17" i="1"/>
  <c r="G25" i="1"/>
  <c r="D31" i="6"/>
  <c r="D23" i="6"/>
  <c r="D15" i="6"/>
  <c r="J15" i="6" s="1"/>
  <c r="D7" i="6"/>
  <c r="E29" i="6"/>
  <c r="G29" i="6" s="1"/>
  <c r="E21" i="6"/>
  <c r="G21" i="6" s="1"/>
  <c r="E13" i="6"/>
  <c r="G13" i="6" s="1"/>
  <c r="E5" i="6"/>
  <c r="G5" i="6" s="1"/>
  <c r="D30" i="6"/>
  <c r="E28" i="6"/>
  <c r="G28" i="6" s="1"/>
  <c r="E12" i="6"/>
  <c r="G12" i="6" s="1"/>
  <c r="C5" i="2"/>
  <c r="F14" i="6" s="1"/>
  <c r="M8" i="7"/>
  <c r="M8" i="9"/>
  <c r="M10" i="9" s="1"/>
  <c r="D22" i="6"/>
  <c r="D6" i="6"/>
  <c r="E20" i="6"/>
  <c r="G20" i="6" s="1"/>
  <c r="E4" i="6"/>
  <c r="G4" i="6" s="1"/>
  <c r="D28" i="6"/>
  <c r="D20" i="6"/>
  <c r="D12" i="6"/>
  <c r="D4" i="6"/>
  <c r="E26" i="6"/>
  <c r="G26" i="6" s="1"/>
  <c r="E18" i="6"/>
  <c r="G18" i="6" s="1"/>
  <c r="E10" i="6"/>
  <c r="G10" i="6" s="1"/>
  <c r="D29" i="6"/>
  <c r="D21" i="6"/>
  <c r="D13" i="6"/>
  <c r="F13" i="6" s="1"/>
  <c r="D5" i="6"/>
  <c r="E27" i="6"/>
  <c r="G27" i="6" s="1"/>
  <c r="E19" i="6"/>
  <c r="E11" i="6"/>
  <c r="G11" i="6" s="1"/>
  <c r="E3" i="6"/>
  <c r="G3" i="6" s="1"/>
  <c r="D27" i="6"/>
  <c r="D19" i="6"/>
  <c r="D11" i="6"/>
  <c r="F11" i="6" s="1"/>
  <c r="D3" i="6"/>
  <c r="E25" i="6"/>
  <c r="G25" i="6" s="1"/>
  <c r="E17" i="6"/>
  <c r="E9" i="6"/>
  <c r="G9" i="6" s="1"/>
  <c r="D26" i="6"/>
  <c r="D18" i="6"/>
  <c r="D10" i="6"/>
  <c r="E2" i="6"/>
  <c r="G2" i="6" s="1"/>
  <c r="E24" i="6"/>
  <c r="G24" i="6" s="1"/>
  <c r="E16" i="6"/>
  <c r="E8" i="6"/>
  <c r="G8" i="6" s="1"/>
  <c r="G31" i="6"/>
  <c r="D16" i="5"/>
  <c r="D18" i="5" s="1"/>
  <c r="C17" i="5"/>
  <c r="F17" i="5" s="1"/>
  <c r="F12" i="1"/>
  <c r="F20" i="1"/>
  <c r="F14" i="1"/>
  <c r="F22" i="1" l="1"/>
  <c r="F24" i="1"/>
  <c r="F18" i="1"/>
  <c r="F19" i="1"/>
  <c r="F4" i="6"/>
  <c r="H4" i="6" s="1"/>
  <c r="F28" i="6"/>
  <c r="H28" i="6" s="1"/>
  <c r="F3" i="1"/>
  <c r="F4" i="1"/>
  <c r="F5" i="6"/>
  <c r="J10" i="6"/>
  <c r="J8" i="6"/>
  <c r="F9" i="6"/>
  <c r="J12" i="6"/>
  <c r="H14" i="6"/>
  <c r="J7" i="6"/>
  <c r="H5" i="6"/>
  <c r="H13" i="6"/>
  <c r="J18" i="6"/>
  <c r="H11" i="6"/>
  <c r="F10" i="6"/>
  <c r="H10" i="6" s="1"/>
  <c r="J26" i="6"/>
  <c r="F9" i="1"/>
  <c r="F18" i="6"/>
  <c r="H18" i="6" s="1"/>
  <c r="F15" i="1"/>
  <c r="F21" i="1"/>
  <c r="F7" i="1"/>
  <c r="F8" i="6"/>
  <c r="H8" i="6" s="1"/>
  <c r="F23" i="1"/>
  <c r="F31" i="1"/>
  <c r="F6" i="6"/>
  <c r="H6" i="6" s="1"/>
  <c r="F24" i="6"/>
  <c r="H24" i="6" s="1"/>
  <c r="F20" i="6"/>
  <c r="H20" i="6" s="1"/>
  <c r="F13" i="1"/>
  <c r="F25" i="1"/>
  <c r="F23" i="6"/>
  <c r="H23" i="6" s="1"/>
  <c r="F10" i="1"/>
  <c r="J14" i="6"/>
  <c r="F30" i="6"/>
  <c r="H30" i="6" s="1"/>
  <c r="F31" i="6"/>
  <c r="H31" i="6" s="1"/>
  <c r="F16" i="6"/>
  <c r="F29" i="1"/>
  <c r="F27" i="1"/>
  <c r="J30" i="6"/>
  <c r="F6" i="1"/>
  <c r="F8" i="1"/>
  <c r="F28" i="1"/>
  <c r="F22" i="6"/>
  <c r="H22" i="6" s="1"/>
  <c r="F2" i="6"/>
  <c r="H2" i="6" s="1"/>
  <c r="J24" i="6"/>
  <c r="J9" i="6"/>
  <c r="J4" i="6"/>
  <c r="H9" i="6"/>
  <c r="F12" i="6"/>
  <c r="H12" i="6" s="1"/>
  <c r="J17" i="6"/>
  <c r="G17" i="6"/>
  <c r="J19" i="6"/>
  <c r="G19" i="6"/>
  <c r="J5" i="6"/>
  <c r="F26" i="6"/>
  <c r="H26" i="6" s="1"/>
  <c r="J31" i="6"/>
  <c r="J20" i="6"/>
  <c r="J16" i="6"/>
  <c r="J13" i="6"/>
  <c r="J6" i="6"/>
  <c r="J3" i="6"/>
  <c r="F3" i="6"/>
  <c r="H3" i="6" s="1"/>
  <c r="J21" i="6"/>
  <c r="J22" i="6"/>
  <c r="J2" i="6"/>
  <c r="F17" i="6"/>
  <c r="F30" i="1"/>
  <c r="F17" i="1"/>
  <c r="F26" i="1"/>
  <c r="J29" i="6"/>
  <c r="J28" i="6"/>
  <c r="F19" i="6"/>
  <c r="F21" i="6"/>
  <c r="H21" i="6" s="1"/>
  <c r="F5" i="1"/>
  <c r="F7" i="6"/>
  <c r="H7" i="6" s="1"/>
  <c r="F25" i="6"/>
  <c r="H25" i="6" s="1"/>
  <c r="J25" i="6"/>
  <c r="F16" i="1"/>
  <c r="F2" i="1"/>
  <c r="F11" i="1"/>
  <c r="G16" i="6"/>
  <c r="J23" i="6"/>
  <c r="J11" i="6"/>
  <c r="F27" i="6"/>
  <c r="H27" i="6" s="1"/>
  <c r="J27" i="6"/>
  <c r="F29" i="6"/>
  <c r="H29" i="6" s="1"/>
  <c r="F15" i="6"/>
  <c r="H15" i="6" s="1"/>
  <c r="H4" i="7" a="1"/>
  <c r="H4" i="7" s="1"/>
  <c r="G3" i="7" a="1"/>
  <c r="G3" i="7" s="1"/>
  <c r="G4" i="7" a="1"/>
  <c r="G4" i="7" s="1"/>
  <c r="I4" i="7" a="1"/>
  <c r="I4" i="7" s="1"/>
  <c r="E3" i="7" a="1"/>
  <c r="E3" i="7" s="1"/>
  <c r="K3" i="7" a="1"/>
  <c r="K3" i="7" s="1"/>
  <c r="C3" i="7"/>
  <c r="J4" i="7" a="1"/>
  <c r="J4" i="7" s="1"/>
  <c r="E4" i="7" a="1"/>
  <c r="E4" i="7" s="1"/>
  <c r="F4" i="7" s="1"/>
  <c r="K4" i="7" a="1"/>
  <c r="K4" i="7" s="1"/>
  <c r="C4" i="7"/>
  <c r="J3" i="7" a="1"/>
  <c r="J3" i="7" s="1"/>
  <c r="D3" i="7"/>
  <c r="H3" i="7" a="1"/>
  <c r="H3" i="7" s="1"/>
  <c r="I3" i="7" a="1"/>
  <c r="I3" i="7" s="1"/>
  <c r="D4" i="7"/>
  <c r="F16" i="5"/>
  <c r="C18" i="5"/>
  <c r="H17" i="6" l="1"/>
  <c r="H16" i="6"/>
  <c r="M19" i="6"/>
  <c r="H19" i="6"/>
  <c r="F3" i="7"/>
  <c r="M7" i="7"/>
  <c r="M10" i="7" s="1"/>
  <c r="M1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<sst xmlns="http://schemas.openxmlformats.org/spreadsheetml/2006/main" count="234" uniqueCount="85">
  <si>
    <t>Veículo</t>
  </si>
  <si>
    <t>Preço</t>
  </si>
  <si>
    <t>Comprimento</t>
  </si>
  <si>
    <t>Motor</t>
  </si>
  <si>
    <t>N/I</t>
  </si>
  <si>
    <t>Asia Towner</t>
  </si>
  <si>
    <t>I</t>
  </si>
  <si>
    <t>Audi A3</t>
  </si>
  <si>
    <t>Chevrolet Astra</t>
  </si>
  <si>
    <t>N</t>
  </si>
  <si>
    <t>Chevrolet Blazer</t>
  </si>
  <si>
    <t>Chevrolet Corsa</t>
  </si>
  <si>
    <t>Chevrolet Tigra</t>
  </si>
  <si>
    <t>Chevrolet Vectra</t>
  </si>
  <si>
    <t>Chrysler Neon</t>
  </si>
  <si>
    <t>Dodge Dakota</t>
  </si>
  <si>
    <t>Fiat Fiorino</t>
  </si>
  <si>
    <t>Fiat Marea</t>
  </si>
  <si>
    <t>Fiat Mille</t>
  </si>
  <si>
    <t>Fiat Palio</t>
  </si>
  <si>
    <t>Fiat Siena</t>
  </si>
  <si>
    <t>Ford Escort</t>
  </si>
  <si>
    <t>Ford Fiesta</t>
  </si>
  <si>
    <t>Ford Ka</t>
  </si>
  <si>
    <t>Ford Mondeo</t>
  </si>
  <si>
    <t>Honda Civic</t>
  </si>
  <si>
    <t>Hyundai Accent</t>
  </si>
  <si>
    <t>Peugeot 106</t>
  </si>
  <si>
    <t>Renault Clio</t>
  </si>
  <si>
    <t>Toyota Corolla</t>
  </si>
  <si>
    <t>Toyota Perua</t>
  </si>
  <si>
    <t>VW Gol</t>
  </si>
  <si>
    <t>VW Golf</t>
  </si>
  <si>
    <t>VW Parati</t>
  </si>
  <si>
    <t>VW Polo</t>
  </si>
  <si>
    <t>VW Santana</t>
  </si>
  <si>
    <t>VW Saveiro</t>
  </si>
  <si>
    <t xml:space="preserve">Preço </t>
  </si>
  <si>
    <t>Média</t>
  </si>
  <si>
    <t>Mediana</t>
  </si>
  <si>
    <t>1° quartil</t>
  </si>
  <si>
    <t>3° quartil</t>
  </si>
  <si>
    <t>Desvio Padrão</t>
  </si>
  <si>
    <t>Variância</t>
  </si>
  <si>
    <t>Origem</t>
  </si>
  <si>
    <t>Rótulos de Coluna</t>
  </si>
  <si>
    <t>Alto</t>
  </si>
  <si>
    <t>Baixo</t>
  </si>
  <si>
    <t>Médio</t>
  </si>
  <si>
    <t>Total Geral</t>
  </si>
  <si>
    <t>Rótulos de Linha</t>
  </si>
  <si>
    <t>Contagem de Preço</t>
  </si>
  <si>
    <t>Tabela Esperada</t>
  </si>
  <si>
    <t>Tabela Normalizada</t>
  </si>
  <si>
    <t>Qui-Quadrado</t>
  </si>
  <si>
    <t>Coeficiente de Contingência</t>
  </si>
  <si>
    <t>V cramer</t>
  </si>
  <si>
    <t>Correlação</t>
  </si>
  <si>
    <t>Preço = x</t>
  </si>
  <si>
    <t>Motor = y</t>
  </si>
  <si>
    <t>x-x_</t>
  </si>
  <si>
    <t>y-y_</t>
  </si>
  <si>
    <t>x-x_/dp</t>
  </si>
  <si>
    <t>y-y_/dp</t>
  </si>
  <si>
    <t>zi*z_j</t>
  </si>
  <si>
    <t xml:space="preserve">Covariancia </t>
  </si>
  <si>
    <t>x-x_*(y-y_)</t>
  </si>
  <si>
    <t>n</t>
  </si>
  <si>
    <t>média</t>
  </si>
  <si>
    <t>variância</t>
  </si>
  <si>
    <t>PreçoQ</t>
  </si>
  <si>
    <t>MotorQ</t>
  </si>
  <si>
    <t>Desvio padrão</t>
  </si>
  <si>
    <t>min</t>
  </si>
  <si>
    <t>q1</t>
  </si>
  <si>
    <t>med</t>
  </si>
  <si>
    <t>q3</t>
  </si>
  <si>
    <t>max</t>
  </si>
  <si>
    <t>R^2</t>
  </si>
  <si>
    <t>Var(S)_ponderada</t>
  </si>
  <si>
    <t xml:space="preserve">Var(S) </t>
  </si>
  <si>
    <t>LI</t>
  </si>
  <si>
    <t>LS</t>
  </si>
  <si>
    <t>Preços</t>
  </si>
  <si>
    <t>Contagem de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</si>
</sst>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2" fontId="2" fillId="0" borderId="0" xfId="1" applyNumberFormat="1"/>
    <xf numFmtId="2" fontId="2" fillId="0" borderId="2" xfId="1" applyNumberFormat="1" applyBorder="1"/>
    <xf numFmtId="3" fontId="2" fillId="0" borderId="0" xfId="1" applyNumberFormat="1"/>
    <xf numFmtId="0" fontId="2" fillId="0" borderId="3" xfId="1" applyBorder="1"/>
    <xf numFmtId="3" fontId="2" fillId="0" borderId="1" xfId="1" applyNumberFormat="1" applyBorder="1"/>
    <xf numFmtId="3" fontId="2" fillId="0" borderId="2" xfId="1" applyNumberFormat="1" applyBorder="1"/>
    <xf numFmtId="2" fontId="2" fillId="0" borderId="1" xfId="1" applyNumberFormat="1" applyBorder="1"/>
    <xf numFmtId="3" fontId="0" fillId="0" borderId="0" xfId="0" applyNumberFormat="1"/>
    <xf numFmtId="0" fontId="3" fillId="0" borderId="4" xfId="0" applyFont="1" applyBorder="1"/>
    <xf numFmtId="3" fontId="0" fillId="0" borderId="4" xfId="0" applyNumberFormat="1" applyBorder="1"/>
    <xf numFmtId="0" fontId="0" fillId="0" borderId="4" xfId="0" applyBorder="1"/>
    <xf numFmtId="0" fontId="1" fillId="0" borderId="0" xfId="0" applyFont="1"/>
    <xf numFmtId="0" fontId="2" fillId="0" borderId="4" xfId="1" applyBorder="1"/>
    <xf numFmtId="0" fontId="0" fillId="0" borderId="0" xfId="0" pivotButton="1"/>
    <xf numFmtId="0" fontId="0" fillId="0" borderId="0" xfId="0" applyAlignment="1">
      <alignment horizontal="left"/>
    </xf>
    <xf numFmtId="0" fontId="1" fillId="2" borderId="4" xfId="0" applyFont="1" applyFill="1" applyBorder="1"/>
    <xf numFmtId="0" fontId="0" fillId="0" borderId="4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3" fillId="0" borderId="0" xfId="0" applyNumberFormat="1" applyFo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</cellXfs>
  <cellStyles count="2">
    <cellStyle name="Normal" xfId="0" builtinId="0"/>
    <cellStyle name="Normal 2" xfId="1" xr:uid="{5130E035-8D5D-4FE1-ABA2-28BF7FF8958F}"/>
  </cellStyles>
  <dxfs count="8"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B050"/>
        </patternFill>
      </fill>
    </dxf>
    <dxf>
      <numFmt numFmtId="3" formatCode="#,##0"/>
    </dxf>
    <dxf>
      <numFmt numFmtId="2" formatCode="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'Análise Unidimensional'!$D$12</c:f>
              <c:strCache>
                <c:ptCount val="1"/>
                <c:pt idx="0">
                  <c:v>Contagem de preços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'Análise Unidimensional'!$C$13:$C$17</c:f>
              <c:strCache>
                <c:ptCount val="5"/>
                <c:pt idx="0">
                  <c:v>5000 |-- 12000</c:v>
                </c:pt>
                <c:pt idx="1">
                  <c:v>12000 |-- 19000</c:v>
                </c:pt>
                <c:pt idx="2">
                  <c:v>19000 |-- 26000</c:v>
                </c:pt>
                <c:pt idx="3">
                  <c:v>26000 |-- 33000</c:v>
                </c:pt>
                <c:pt idx="4">
                  <c:v>33000 |-- 40000</c:v>
                </c:pt>
              </c:strCache>
            </c:strRef>
          </c:cat>
          <c:val>
            <c:numRef>
              <c:f>'Análise Unidimensional'!$D$13:$D$17</c:f>
              <c:numCache>
                <c:formatCode>General</c:formatCode>
                <c:ptCount val="5"/>
                <c:pt idx="0">
                  <c:v>15</c:v>
                </c:pt>
                <c:pt idx="1">
                  <c:v>9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8-4FBC-9730-0A9D34423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415107199"/>
        <c:axId val="1415106719"/>
      </c:barChart>
      <c:catAx>
        <c:axId val="141510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06719"/>
        <c:crosses val="autoZero"/>
        <c:auto val="1"/>
        <c:lblAlgn val="ctr"/>
        <c:lblOffset val="100"/>
        <c:noMultiLvlLbl val="0"/>
      </c:catAx>
      <c:valAx>
        <c:axId val="141510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0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Histograma</a:t>
            </a:r>
            <a:r>
              <a:rPr lang="pt-BR" baseline="0"/>
              <a:t> Comprimento</a:t>
            </a:r>
          </a:p>
        </c:rich>
      </c:tx>
      <c:layout>
        <c:manualLayout>
          <c:xMode val="edge"/>
          <c:yMode val="edge"/>
          <c:x val="0.353930446194225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'Análise Unidimensional'!$I$13:$I$18</c:f>
              <c:strCache>
                <c:ptCount val="6"/>
                <c:pt idx="0">
                  <c:v>3,2 |-- 3,5</c:v>
                </c:pt>
                <c:pt idx="1">
                  <c:v>3,5 |-- 3,8</c:v>
                </c:pt>
                <c:pt idx="2">
                  <c:v>3,8 |-- 4,1</c:v>
                </c:pt>
                <c:pt idx="3">
                  <c:v>4,1 |-- 4,4</c:v>
                </c:pt>
                <c:pt idx="4">
                  <c:v>4,4 |-- 4,7</c:v>
                </c:pt>
                <c:pt idx="5">
                  <c:v>4,7 |-- 5</c:v>
                </c:pt>
              </c:strCache>
            </c:strRef>
          </c:cat>
          <c:val>
            <c:numRef>
              <c:f>'Análise Unidimensional'!$J$13:$J$18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4</c:v>
                </c:pt>
                <c:pt idx="3">
                  <c:v>12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9-4DD7-A490-4562076C7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527200272"/>
        <c:axId val="1508003968"/>
      </c:barChart>
      <c:catAx>
        <c:axId val="152720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003968"/>
        <c:crosses val="autoZero"/>
        <c:auto val="1"/>
        <c:lblAlgn val="ctr"/>
        <c:lblOffset val="100"/>
        <c:noMultiLvlLbl val="0"/>
      </c:catAx>
      <c:valAx>
        <c:axId val="15080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720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Histograma</a:t>
            </a:r>
            <a:r>
              <a:rPr lang="pt-BR" baseline="0"/>
              <a:t> Potência Motor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'Análise Unidimensional'!$O$13:$O$17</c:f>
              <c:strCache>
                <c:ptCount val="5"/>
                <c:pt idx="0">
                  <c:v>40 |-- 60</c:v>
                </c:pt>
                <c:pt idx="1">
                  <c:v>60 |-- 80</c:v>
                </c:pt>
                <c:pt idx="2">
                  <c:v>80 |-- 100</c:v>
                </c:pt>
                <c:pt idx="3">
                  <c:v>100 |-- 120</c:v>
                </c:pt>
                <c:pt idx="4">
                  <c:v>120 |-- 140</c:v>
                </c:pt>
              </c:strCache>
            </c:strRef>
          </c:cat>
          <c:val>
            <c:numRef>
              <c:f>'Análise Unidimensional'!$P$13:$P$17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10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B-4771-82B7-F226111EE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784855823"/>
        <c:axId val="1784852463"/>
      </c:barChart>
      <c:catAx>
        <c:axId val="178485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4852463"/>
        <c:crosses val="autoZero"/>
        <c:auto val="1"/>
        <c:lblAlgn val="ctr"/>
        <c:lblOffset val="100"/>
        <c:noMultiLvlLbl val="0"/>
      </c:catAx>
      <c:valAx>
        <c:axId val="17848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485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Origem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4FC-4455-868E-1807A1855EE4}"/>
              </c:ext>
            </c:extLst>
          </c:dPt>
          <c:cat>
            <c:strRef>
              <c:f>'Análise Unidimensional'!$T$3:$T$4</c:f>
              <c:strCache>
                <c:ptCount val="2"/>
                <c:pt idx="0">
                  <c:v>N</c:v>
                </c:pt>
                <c:pt idx="1">
                  <c:v>I</c:v>
                </c:pt>
              </c:strCache>
            </c:strRef>
          </c:cat>
          <c:val>
            <c:numRef>
              <c:f>'Análise Unidimensional'!$U$3:$U$4</c:f>
              <c:numCache>
                <c:formatCode>General</c:formatCode>
                <c:ptCount val="2"/>
                <c:pt idx="0">
                  <c:v>18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C-4455-868E-1807A1855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5296304"/>
        <c:axId val="1535296784"/>
      </c:barChart>
      <c:catAx>
        <c:axId val="153529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5296784"/>
        <c:crosses val="autoZero"/>
        <c:auto val="1"/>
        <c:lblAlgn val="ctr"/>
        <c:lblOffset val="100"/>
        <c:noMultiLvlLbl val="0"/>
      </c:catAx>
      <c:valAx>
        <c:axId val="15352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529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[Gabarito_exercício_sala.xlsx]Análise 3!Tabela dinâmica6</c:name>
    <c:fmtId val="0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'Análise 3'!$C$2:$C$3</c:f>
              <c:strCache>
                <c:ptCount val="1"/>
                <c:pt idx="0">
                  <c:v>Alto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'Análise 3'!$B$4:$B$6</c:f>
              <c:strCache>
                <c:ptCount val="2"/>
                <c:pt idx="0">
                  <c:v>Alto</c:v>
                </c:pt>
                <c:pt idx="1">
                  <c:v>Baixo</c:v>
                </c:pt>
              </c:strCache>
            </c:strRef>
          </c:cat>
          <c:val>
            <c:numRef>
              <c:f>'Análise 3'!$C$4:$C$6</c:f>
              <c:numCache>
                <c:formatCode>General</c:formatCode>
                <c:ptCount val="2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B-4A06-B88E-94F6D11E6346}"/>
            </c:ext>
          </c:extLst>
        </c:ser>
        <c:ser>
          <c:idx val="1"/>
          <c:order val="1"/>
          <c:tx>
            <c:strRef>
              <c:f>'Análise 3'!$D$2:$D$3</c:f>
              <c:strCache>
                <c:ptCount val="1"/>
                <c:pt idx="0">
                  <c:v>Baixo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'Análise 3'!$B$4:$B$6</c:f>
              <c:strCache>
                <c:ptCount val="2"/>
                <c:pt idx="0">
                  <c:v>Alto</c:v>
                </c:pt>
                <c:pt idx="1">
                  <c:v>Baixo</c:v>
                </c:pt>
              </c:strCache>
            </c:strRef>
          </c:cat>
          <c:val>
            <c:numRef>
              <c:f>'Análise 3'!$D$4:$D$6</c:f>
              <c:numCache>
                <c:formatCode>General</c:formatCode>
                <c:ptCount val="2"/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4B-4A06-B88E-94F6D11E6346}"/>
            </c:ext>
          </c:extLst>
        </c:ser>
        <c:ser>
          <c:idx val="2"/>
          <c:order val="2"/>
          <c:tx>
            <c:strRef>
              <c:f>'Análise 3'!$E$2:$E$3</c:f>
              <c:strCache>
                <c:ptCount val="1"/>
                <c:pt idx="0">
                  <c:v>Médio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'Análise 3'!$B$4:$B$6</c:f>
              <c:strCache>
                <c:ptCount val="2"/>
                <c:pt idx="0">
                  <c:v>Alto</c:v>
                </c:pt>
                <c:pt idx="1">
                  <c:v>Baixo</c:v>
                </c:pt>
              </c:strCache>
            </c:strRef>
          </c:cat>
          <c:val>
            <c:numRef>
              <c:f>'Análise 3'!$E$4:$E$6</c:f>
              <c:numCache>
                <c:formatCode>General</c:formatCode>
                <c:ptCount val="2"/>
                <c:pt idx="0">
                  <c:v>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4B-4A06-B88E-94F6D11E6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6743488"/>
        <c:axId val="1066745408"/>
      </c:barChart>
      <c:catAx>
        <c:axId val="106674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6745408"/>
        <c:crosses val="autoZero"/>
        <c:auto val="1"/>
        <c:lblAlgn val="ctr"/>
        <c:lblOffset val="100"/>
        <c:noMultiLvlLbl val="0"/>
      </c:catAx>
      <c:valAx>
        <c:axId val="10667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674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Análise</a:t>
            </a:r>
            <a:r>
              <a:rPr lang="pt-BR" baseline="0"/>
              <a:t> Valor x Motor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'Análise 5'!$C$1</c:f>
              <c:strCache>
                <c:ptCount val="1"/>
                <c:pt idx="0">
                  <c:v>Motor = 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'Análise 5'!$B$2:$B$31</c:f>
              <c:numCache>
                <c:formatCode>#,##0</c:formatCode>
                <c:ptCount val="30"/>
                <c:pt idx="0">
                  <c:v>9440</c:v>
                </c:pt>
                <c:pt idx="1">
                  <c:v>38850</c:v>
                </c:pt>
                <c:pt idx="2">
                  <c:v>10532</c:v>
                </c:pt>
                <c:pt idx="3">
                  <c:v>16346</c:v>
                </c:pt>
                <c:pt idx="4">
                  <c:v>6176</c:v>
                </c:pt>
                <c:pt idx="5">
                  <c:v>12890</c:v>
                </c:pt>
                <c:pt idx="6">
                  <c:v>13140</c:v>
                </c:pt>
                <c:pt idx="7">
                  <c:v>31640</c:v>
                </c:pt>
                <c:pt idx="8">
                  <c:v>11630</c:v>
                </c:pt>
                <c:pt idx="9">
                  <c:v>6700</c:v>
                </c:pt>
                <c:pt idx="10">
                  <c:v>12923</c:v>
                </c:pt>
                <c:pt idx="11">
                  <c:v>5257</c:v>
                </c:pt>
                <c:pt idx="12">
                  <c:v>6260</c:v>
                </c:pt>
                <c:pt idx="13">
                  <c:v>7780</c:v>
                </c:pt>
                <c:pt idx="14">
                  <c:v>10767</c:v>
                </c:pt>
                <c:pt idx="15">
                  <c:v>6316</c:v>
                </c:pt>
                <c:pt idx="16">
                  <c:v>5680</c:v>
                </c:pt>
                <c:pt idx="17">
                  <c:v>33718</c:v>
                </c:pt>
                <c:pt idx="18">
                  <c:v>14460</c:v>
                </c:pt>
                <c:pt idx="19">
                  <c:v>21500</c:v>
                </c:pt>
                <c:pt idx="20">
                  <c:v>13840</c:v>
                </c:pt>
                <c:pt idx="21">
                  <c:v>13700</c:v>
                </c:pt>
                <c:pt idx="22">
                  <c:v>15520</c:v>
                </c:pt>
                <c:pt idx="23">
                  <c:v>24632</c:v>
                </c:pt>
                <c:pt idx="24">
                  <c:v>6340</c:v>
                </c:pt>
                <c:pt idx="25">
                  <c:v>22200</c:v>
                </c:pt>
                <c:pt idx="26">
                  <c:v>9300</c:v>
                </c:pt>
                <c:pt idx="27">
                  <c:v>12018</c:v>
                </c:pt>
                <c:pt idx="28">
                  <c:v>11386</c:v>
                </c:pt>
                <c:pt idx="29">
                  <c:v>7742</c:v>
                </c:pt>
              </c:numCache>
            </c:numRef>
          </c:xVal>
          <c:yVal>
            <c:numRef>
              <c:f>'Análise 5'!$C$2:$C$31</c:f>
              <c:numCache>
                <c:formatCode>General</c:formatCode>
                <c:ptCount val="30"/>
                <c:pt idx="0">
                  <c:v>40</c:v>
                </c:pt>
                <c:pt idx="1">
                  <c:v>125</c:v>
                </c:pt>
                <c:pt idx="2">
                  <c:v>110</c:v>
                </c:pt>
                <c:pt idx="3">
                  <c:v>106</c:v>
                </c:pt>
                <c:pt idx="4">
                  <c:v>60</c:v>
                </c:pt>
                <c:pt idx="5">
                  <c:v>100</c:v>
                </c:pt>
                <c:pt idx="6">
                  <c:v>110</c:v>
                </c:pt>
                <c:pt idx="7">
                  <c:v>115</c:v>
                </c:pt>
                <c:pt idx="8">
                  <c:v>121</c:v>
                </c:pt>
                <c:pt idx="9">
                  <c:v>76</c:v>
                </c:pt>
                <c:pt idx="10">
                  <c:v>127</c:v>
                </c:pt>
                <c:pt idx="11">
                  <c:v>57</c:v>
                </c:pt>
                <c:pt idx="12">
                  <c:v>61</c:v>
                </c:pt>
                <c:pt idx="13">
                  <c:v>61</c:v>
                </c:pt>
                <c:pt idx="14">
                  <c:v>115</c:v>
                </c:pt>
                <c:pt idx="15">
                  <c:v>52</c:v>
                </c:pt>
                <c:pt idx="16">
                  <c:v>54</c:v>
                </c:pt>
                <c:pt idx="17">
                  <c:v>130</c:v>
                </c:pt>
                <c:pt idx="18">
                  <c:v>106</c:v>
                </c:pt>
                <c:pt idx="19">
                  <c:v>91</c:v>
                </c:pt>
                <c:pt idx="20">
                  <c:v>50</c:v>
                </c:pt>
                <c:pt idx="21">
                  <c:v>74</c:v>
                </c:pt>
                <c:pt idx="22">
                  <c:v>116</c:v>
                </c:pt>
                <c:pt idx="23">
                  <c:v>96</c:v>
                </c:pt>
                <c:pt idx="24">
                  <c:v>54</c:v>
                </c:pt>
                <c:pt idx="25">
                  <c:v>100</c:v>
                </c:pt>
                <c:pt idx="26">
                  <c:v>69</c:v>
                </c:pt>
                <c:pt idx="27">
                  <c:v>99</c:v>
                </c:pt>
                <c:pt idx="28">
                  <c:v>101</c:v>
                </c:pt>
                <c:pt idx="2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F-4A44-B0A6-E812DA2F6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757888"/>
        <c:axId val="1066747808"/>
      </c:scatterChart>
      <c:valAx>
        <c:axId val="10667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6747808"/>
        <c:crosses val="autoZero"/>
        <c:crossBetween val="midCat"/>
      </c:valAx>
      <c:valAx>
        <c:axId val="106674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Potencia</a:t>
                </a:r>
                <a:r>
                  <a:rPr lang="pt-BR" baseline="0"/>
                  <a:t> do motor (CV)</a:t>
                </a:r>
                <a:endParaRPr lang="pt-BR" sz="1000" b="0" i="0" u="none" strike="noStrike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675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[Gabarito_exercício_sala.xlsx]Análise 6!Tabela dinâmica7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'Análise 6'!$C$2:$C$3</c:f>
              <c:strCache>
                <c:ptCount val="1"/>
                <c:pt idx="0">
                  <c:v>Alto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'Análise 6'!$B$4:$B$6</c:f>
              <c:strCache>
                <c:ptCount val="2"/>
                <c:pt idx="0">
                  <c:v>I</c:v>
                </c:pt>
                <c:pt idx="1">
                  <c:v>N</c:v>
                </c:pt>
              </c:strCache>
            </c:strRef>
          </c:cat>
          <c:val>
            <c:numRef>
              <c:f>'Análise 6'!$C$4:$C$6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D-4CBE-B7AC-6E767EB4641D}"/>
            </c:ext>
          </c:extLst>
        </c:ser>
        <c:ser>
          <c:idx val="1"/>
          <c:order val="1"/>
          <c:tx>
            <c:strRef>
              <c:f>'Análise 6'!$D$2:$D$3</c:f>
              <c:strCache>
                <c:ptCount val="1"/>
                <c:pt idx="0">
                  <c:v>Baixo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'Análise 6'!$B$4:$B$6</c:f>
              <c:strCache>
                <c:ptCount val="2"/>
                <c:pt idx="0">
                  <c:v>I</c:v>
                </c:pt>
                <c:pt idx="1">
                  <c:v>N</c:v>
                </c:pt>
              </c:strCache>
            </c:strRef>
          </c:cat>
          <c:val>
            <c:numRef>
              <c:f>'Análise 6'!$D$4:$D$6</c:f>
              <c:numCache>
                <c:formatCode>General</c:formatCode>
                <c:ptCount val="2"/>
                <c:pt idx="0">
                  <c:v>2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D-4CBE-B7AC-6E767EB4641D}"/>
            </c:ext>
          </c:extLst>
        </c:ser>
        <c:ser>
          <c:idx val="2"/>
          <c:order val="2"/>
          <c:tx>
            <c:strRef>
              <c:f>'Análise 6'!$E$2:$E$3</c:f>
              <c:strCache>
                <c:ptCount val="1"/>
                <c:pt idx="0">
                  <c:v>Médio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'Análise 6'!$B$4:$B$6</c:f>
              <c:strCache>
                <c:ptCount val="2"/>
                <c:pt idx="0">
                  <c:v>I</c:v>
                </c:pt>
                <c:pt idx="1">
                  <c:v>N</c:v>
                </c:pt>
              </c:strCache>
            </c:strRef>
          </c:cat>
          <c:val>
            <c:numRef>
              <c:f>'Análise 6'!$E$4:$E$6</c:f>
              <c:numCache>
                <c:formatCode>General</c:formatCode>
                <c:ptCount val="2"/>
                <c:pt idx="0">
                  <c:v>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2D-4CBE-B7AC-6E767EB46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0663136"/>
        <c:axId val="1100663616"/>
      </c:barChart>
      <c:catAx>
        <c:axId val="110066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0663616"/>
        <c:crosses val="autoZero"/>
        <c:auto val="1"/>
        <c:lblAlgn val="ctr"/>
        <c:lblOffset val="100"/>
        <c:noMultiLvlLbl val="0"/>
      </c:catAx>
      <c:valAx>
        <c:axId val="11006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066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 Plot - Preço x Motor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- Preço x Motor</a:t>
          </a:r>
        </a:p>
      </cx:txPr>
    </cx:title>
    <cx:plotArea>
      <cx:plotAreaRegion>
        <cx:series layoutId="boxWhisker" uniqueId="{31769CBD-2DFA-4EC3-9756-23BEEE4A2070}">
          <cx:tx>
            <cx:txData>
              <cx:f>_xlchart.v1.0</cx:f>
              <cx:v>Baixo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261237-CC13-4C05-A0BB-DEFF8966AD77}">
          <cx:tx>
            <cx:txData>
              <cx:f>_xlchart.v1.2</cx:f>
              <cx:v>Alto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Preço x N/I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Preço x N/I</a:t>
          </a:r>
        </a:p>
      </cx:txPr>
    </cx:title>
    <cx:plotArea>
      <cx:plotAreaRegion>
        <cx:series layoutId="boxWhisker" uniqueId="{FB909BC7-4977-4685-8CDF-D3455BF9CE89}">
          <cx:tx>
            <cx:txData>
              <cx:f>_xlchart.v1.4</cx:f>
              <cx:v>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471CAD-384B-4E28-9C60-01D37EBEC447}">
          <cx:tx>
            <cx:txData>
              <cx:f>_xlchart.v1.6</cx:f>
              <cx:v>I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20</xdr:row>
      <xdr:rowOff>30480</xdr:rowOff>
    </xdr:from>
    <xdr:to>
      <xdr:col>4</xdr:col>
      <xdr:colOff>358140</xdr:colOff>
      <xdr:row>33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8C5FA4A-185E-F6F5-298C-C4227866F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556260</xdr:colOff>
      <xdr:row>19</xdr:row>
      <xdr:rowOff>167640</xdr:rowOff>
    </xdr:from>
    <xdr:to>
      <xdr:col>9</xdr:col>
      <xdr:colOff>1066800</xdr:colOff>
      <xdr:row>32</xdr:row>
      <xdr:rowOff>148590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8807A82-427D-7F7D-8C03-C482D1ADD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19</xdr:row>
      <xdr:rowOff>19050</xdr:rowOff>
    </xdr:from>
    <xdr:to>
      <xdr:col>15</xdr:col>
      <xdr:colOff>982980</xdr:colOff>
      <xdr:row>34</xdr:row>
      <xdr:rowOff>19050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B67E51B-549E-E4B0-273A-B6A0766B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6</xdr:row>
      <xdr:rowOff>30480</xdr:rowOff>
    </xdr:from>
    <xdr:to>
      <xdr:col>23</xdr:col>
      <xdr:colOff>350520</xdr:colOff>
      <xdr:row>20</xdr:row>
      <xdr:rowOff>3810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F77BE76-13E3-9750-2833-6391CD625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624840</xdr:colOff>
      <xdr:row>1</xdr:row>
      <xdr:rowOff>38100</xdr:rowOff>
    </xdr:from>
    <xdr:to>
      <xdr:col>9</xdr:col>
      <xdr:colOff>259080</xdr:colOff>
      <xdr:row>13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A9E0B1-B12A-E673-83E2-C91AA070C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6</xdr:row>
      <xdr:rowOff>45720</xdr:rowOff>
    </xdr:from>
    <xdr:to>
      <xdr:col>9</xdr:col>
      <xdr:colOff>0</xdr:colOff>
      <xdr:row>21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1072DD9-3395-414A-A687-1C6A027F48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400" y="114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0</xdr:row>
      <xdr:rowOff>148590</xdr:rowOff>
    </xdr:from>
    <xdr:to>
      <xdr:col>19</xdr:col>
      <xdr:colOff>152400</xdr:colOff>
      <xdr:row>15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E95437-A335-9B7A-0FDE-F8DB3840B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2</xdr:row>
      <xdr:rowOff>91440</xdr:rowOff>
    </xdr:from>
    <xdr:to>
      <xdr:col>13</xdr:col>
      <xdr:colOff>556260</xdr:colOff>
      <xdr:row>16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3E78B1-8F14-9804-3EC8-C7F8AFD9F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6</xdr:row>
      <xdr:rowOff>22860</xdr:rowOff>
    </xdr:from>
    <xdr:to>
      <xdr:col>9</xdr:col>
      <xdr:colOff>0</xdr:colOff>
      <xdr:row>21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B072B34-1007-45E9-9ACD-A405F896CB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180" y="11201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an Mariani Ferreira" refreshedDate="45559.855082175927" createdVersion="8" refreshedVersion="8" minRefreshableVersion="3" recordCount="30" xr:uid="{436919A8-3E8F-4B07-A696-30314F5ABD6A}">
  <cacheSource type="worksheet">
    <worksheetSource ref="F1:G31" sheet="Veículos"/>
  </cacheSource>
  <cacheFields count="2">
    <cacheField name="Preço" numFmtId="0">
      <sharedItems count="3">
        <s v="Baixo"/>
        <s v="Alto"/>
        <s v="Médio"/>
      </sharedItems>
    </cacheField>
    <cacheField name="Motor " numFmtId="3">
      <sharedItems count="2">
        <s v="Baixo"/>
        <s v="Al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an Mariani Ferreira" refreshedDate="45559.872219328703" createdVersion="8" refreshedVersion="8" minRefreshableVersion="3" recordCount="30" xr:uid="{2EAC1F08-00EB-44BC-8323-3A28000EBCEC}">
  <cacheSource type="worksheet">
    <worksheetSource ref="E1:F31" sheet="Veículos"/>
  </cacheSource>
  <cacheFields count="2">
    <cacheField name="N/I" numFmtId="0">
      <sharedItems count="2">
        <s v="I"/>
        <s v="N"/>
      </sharedItems>
    </cacheField>
    <cacheField name="Preço" numFmtId="0">
      <sharedItems count="3">
        <s v="Baixo"/>
        <s v="Alto"/>
        <s v="Mé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</r>
  <r>
    <x v="1"/>
    <x v="1"/>
  </r>
  <r>
    <x v="2"/>
    <x v="1"/>
  </r>
  <r>
    <x v="2"/>
    <x v="1"/>
  </r>
  <r>
    <x v="0"/>
    <x v="0"/>
  </r>
  <r>
    <x v="2"/>
    <x v="1"/>
  </r>
  <r>
    <x v="2"/>
    <x v="1"/>
  </r>
  <r>
    <x v="1"/>
    <x v="1"/>
  </r>
  <r>
    <x v="2"/>
    <x v="1"/>
  </r>
  <r>
    <x v="0"/>
    <x v="0"/>
  </r>
  <r>
    <x v="2"/>
    <x v="1"/>
  </r>
  <r>
    <x v="0"/>
    <x v="0"/>
  </r>
  <r>
    <x v="0"/>
    <x v="0"/>
  </r>
  <r>
    <x v="0"/>
    <x v="0"/>
  </r>
  <r>
    <x v="2"/>
    <x v="1"/>
  </r>
  <r>
    <x v="0"/>
    <x v="0"/>
  </r>
  <r>
    <x v="0"/>
    <x v="0"/>
  </r>
  <r>
    <x v="1"/>
    <x v="1"/>
  </r>
  <r>
    <x v="2"/>
    <x v="1"/>
  </r>
  <r>
    <x v="1"/>
    <x v="1"/>
  </r>
  <r>
    <x v="2"/>
    <x v="0"/>
  </r>
  <r>
    <x v="2"/>
    <x v="0"/>
  </r>
  <r>
    <x v="2"/>
    <x v="1"/>
  </r>
  <r>
    <x v="1"/>
    <x v="1"/>
  </r>
  <r>
    <x v="0"/>
    <x v="0"/>
  </r>
  <r>
    <x v="1"/>
    <x v="1"/>
  </r>
  <r>
    <x v="0"/>
    <x v="0"/>
  </r>
  <r>
    <x v="2"/>
    <x v="1"/>
  </r>
  <r>
    <x v="2"/>
    <x v="1"/>
  </r>
  <r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</r>
  <r>
    <x v="0"/>
    <x v="1"/>
  </r>
  <r>
    <x v="1"/>
    <x v="2"/>
  </r>
  <r>
    <x v="1"/>
    <x v="2"/>
  </r>
  <r>
    <x v="1"/>
    <x v="0"/>
  </r>
  <r>
    <x v="0"/>
    <x v="2"/>
  </r>
  <r>
    <x v="1"/>
    <x v="2"/>
  </r>
  <r>
    <x v="0"/>
    <x v="1"/>
  </r>
  <r>
    <x v="1"/>
    <x v="2"/>
  </r>
  <r>
    <x v="1"/>
    <x v="0"/>
  </r>
  <r>
    <x v="1"/>
    <x v="2"/>
  </r>
  <r>
    <x v="1"/>
    <x v="0"/>
  </r>
  <r>
    <x v="1"/>
    <x v="0"/>
  </r>
  <r>
    <x v="0"/>
    <x v="0"/>
  </r>
  <r>
    <x v="0"/>
    <x v="2"/>
  </r>
  <r>
    <x v="1"/>
    <x v="0"/>
  </r>
  <r>
    <x v="1"/>
    <x v="0"/>
  </r>
  <r>
    <x v="0"/>
    <x v="1"/>
  </r>
  <r>
    <x v="1"/>
    <x v="2"/>
  </r>
  <r>
    <x v="0"/>
    <x v="1"/>
  </r>
  <r>
    <x v="0"/>
    <x v="2"/>
  </r>
  <r>
    <x v="0"/>
    <x v="2"/>
  </r>
  <r>
    <x v="1"/>
    <x v="2"/>
  </r>
  <r>
    <x v="1"/>
    <x v="1"/>
  </r>
  <r>
    <x v="1"/>
    <x v="0"/>
  </r>
  <r>
    <x v="0"/>
    <x v="1"/>
  </r>
  <r>
    <x v="1"/>
    <x v="0"/>
  </r>
  <r>
    <x v="0"/>
    <x v="2"/>
  </r>
  <r>
    <x v="1"/>
    <x v="2"/>
  </r>
  <r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2AFA2-C29F-42DA-AFFB-5E05F0948E03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B2:F6" firstHeaderRow="1" firstDataRow="2" firstDataCol="1"/>
  <pivotFields count="2">
    <pivotField axis="axisCol" dataField="1" showAll="0">
      <items count="4">
        <item x="1"/>
        <item x="0"/>
        <item x="2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ntagem de Preço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6C0D2-60B1-41D4-B8C5-4D9D6E77ADCF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B2:F6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>
      <items count="4">
        <item x="1"/>
        <item x="0"/>
        <item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ntagem de Preço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08B2A-0851-4A7F-ACC5-523E51BAB811}" name="Tabela1" displayName="Tabela1" ref="A1:G31" totalsRowShown="0" headerRowCellStyle="Normal 2">
  <autoFilter ref="A1:G31" xr:uid="{02808B2A-0851-4A7F-ACC5-523E51BAB811}"/>
  <tableColumns count="7">
    <tableColumn id="1" xr3:uid="{8ED06041-C623-40C8-9984-C2E5EA125D03}" name="Veículo" dataCellStyle="Normal 2"/>
    <tableColumn id="2" xr3:uid="{20C290DE-A28F-4E17-9367-DDAE577576DC}" name="Preço" dataDxfId="7" dataCellStyle="Normal 2"/>
    <tableColumn id="3" xr3:uid="{C88B6F14-0EB4-47BC-AB43-C5C099998BE5}" name="Comprimento" dataDxfId="6" dataCellStyle="Normal 2"/>
    <tableColumn id="4" xr3:uid="{5836E5DF-7FD6-46D3-8B5F-D96A4B6C6040}" name="Motor" dataCellStyle="Normal 2"/>
    <tableColumn id="5" xr3:uid="{D226A1DD-5FF5-4A12-99F1-A0707B04120B}" name="N/I" dataCellStyle="Normal 2"/>
    <tableColumn id="6" xr3:uid="{70D5F8D9-9FD8-490A-9E17-1254F44AC503}" name="PreçoQ">
      <calculatedColumnFormula>IF(B2 &gt; 'Análise Unidimensional'!$C$3 + 0.5 * 'Análise Unidimensional'!$C$5, "Alto", IF(B2 &lt; 'Análise Unidimensional'!$C$3 - 0.5 * 'Análise Unidimensional'!$C$5, "Baixo", "Médio"))</calculatedColumnFormula>
    </tableColumn>
    <tableColumn id="7" xr3:uid="{D42A4F5F-D474-423D-8470-B68C9695078A}" name="MotorQ" dataDxfId="5">
      <calculatedColumnFormula>IF(D2 &gt;= 'Análise Unidimensional'!$O$3, "Alto","Baixo")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383B-9F9D-4737-865D-255858621E73}">
  <dimension ref="A1:I32"/>
  <sheetViews>
    <sheetView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21875" customWidth="1"/>
    <col min="3" max="3" width="14.6640625" customWidth="1"/>
    <col min="4" max="4" width="11.77734375" customWidth="1"/>
    <col min="6" max="6" width="9.109375" customWidth="1"/>
    <col min="7" max="7" width="12.77734375" bestFit="1" customWidth="1"/>
    <col min="8" max="8" width="15.5546875" bestFit="1" customWidth="1"/>
    <col min="9" max="9" width="10.109375" bestFit="1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70</v>
      </c>
      <c r="G1" s="16" t="s">
        <v>71</v>
      </c>
    </row>
    <row r="2" spans="1:9" x14ac:dyDescent="0.3">
      <c r="A2" s="2" t="s">
        <v>5</v>
      </c>
      <c r="B2" s="8">
        <v>9440</v>
      </c>
      <c r="C2" s="10">
        <v>3.36</v>
      </c>
      <c r="D2" s="2">
        <v>40</v>
      </c>
      <c r="E2" s="2" t="s">
        <v>6</v>
      </c>
      <c r="F2" t="str">
        <f>IF(B2 &gt; 'Análise Unidimensional'!$C$3 + 0.5 * 'Análise Unidimensional'!$C$5, "Alto", IF(B2 &lt; 'Análise Unidimensional'!$C$3 - 0.5 * 'Análise Unidimensional'!$C$5, "Baixo", "Médio"))</f>
        <v>Baixo</v>
      </c>
      <c r="G2" s="11" t="str">
        <f>IF(D2 &gt;= 'Análise Unidimensional'!$O$3, "Alto","Baixo")</f>
        <v>Baixo</v>
      </c>
      <c r="I2" s="11"/>
    </row>
    <row r="3" spans="1:9" x14ac:dyDescent="0.3">
      <c r="A3" s="1" t="s">
        <v>7</v>
      </c>
      <c r="B3" s="6">
        <v>38850</v>
      </c>
      <c r="C3" s="4">
        <v>4.1500000000000004</v>
      </c>
      <c r="D3" s="1">
        <v>125</v>
      </c>
      <c r="E3" s="1" t="s">
        <v>6</v>
      </c>
      <c r="F3" t="str">
        <f>IF(B3 &gt; 'Análise Unidimensional'!$C$3 + 0.5 * 'Análise Unidimensional'!$C$5, "Alto", IF(B3 &lt; 'Análise Unidimensional'!$C$3 - 0.5 * 'Análise Unidimensional'!$C$5, "Baixo", "Médio"))</f>
        <v>Alto</v>
      </c>
      <c r="G3" s="24" t="str">
        <f>IF(D3 &gt;= 'Análise Unidimensional'!$O$3, "Alto","Baixo")</f>
        <v>Alto</v>
      </c>
    </row>
    <row r="4" spans="1:9" x14ac:dyDescent="0.3">
      <c r="A4" s="1" t="s">
        <v>8</v>
      </c>
      <c r="B4" s="6">
        <v>10532</v>
      </c>
      <c r="C4" s="4">
        <v>4.1100000000000003</v>
      </c>
      <c r="D4" s="1">
        <v>110</v>
      </c>
      <c r="E4" s="1" t="s">
        <v>9</v>
      </c>
      <c r="F4" t="str">
        <f>IF(B4 &gt; 'Análise Unidimensional'!$C$3 + 0.5 * 'Análise Unidimensional'!$C$5, "Alto", IF(B4 &lt; 'Análise Unidimensional'!$C$3 - 0.5 * 'Análise Unidimensional'!$C$5, "Baixo", "Médio"))</f>
        <v>Médio</v>
      </c>
      <c r="G4" s="11" t="str">
        <f>IF(D4 &gt;= 'Análise Unidimensional'!$O$3, "Alto","Baixo")</f>
        <v>Alto</v>
      </c>
    </row>
    <row r="5" spans="1:9" x14ac:dyDescent="0.3">
      <c r="A5" s="1" t="s">
        <v>10</v>
      </c>
      <c r="B5" s="6">
        <v>16346</v>
      </c>
      <c r="C5" s="4">
        <v>4.5999999999999996</v>
      </c>
      <c r="D5" s="1">
        <v>106</v>
      </c>
      <c r="E5" s="1" t="s">
        <v>9</v>
      </c>
      <c r="F5" t="str">
        <f>IF(B5 &gt; 'Análise Unidimensional'!$C$3 + 0.5 * 'Análise Unidimensional'!$C$5, "Alto", IF(B5 &lt; 'Análise Unidimensional'!$C$3 - 0.5 * 'Análise Unidimensional'!$C$5, "Baixo", "Médio"))</f>
        <v>Médio</v>
      </c>
      <c r="G5" s="11" t="str">
        <f>IF(D5 &gt;= 'Análise Unidimensional'!$O$3, "Alto","Baixo")</f>
        <v>Alto</v>
      </c>
    </row>
    <row r="6" spans="1:9" x14ac:dyDescent="0.3">
      <c r="A6" s="1" t="s">
        <v>11</v>
      </c>
      <c r="B6" s="6">
        <v>6176</v>
      </c>
      <c r="C6" s="4">
        <v>3.73</v>
      </c>
      <c r="D6" s="1">
        <v>60</v>
      </c>
      <c r="E6" s="1" t="s">
        <v>9</v>
      </c>
      <c r="F6" t="str">
        <f>IF(B6 &gt; 'Análise Unidimensional'!$C$3 + 0.5 * 'Análise Unidimensional'!$C$5, "Alto", IF(B6 &lt; 'Análise Unidimensional'!$C$3 - 0.5 * 'Análise Unidimensional'!$C$5, "Baixo", "Médio"))</f>
        <v>Baixo</v>
      </c>
      <c r="G6" s="11" t="str">
        <f>IF(D6 &gt;= 'Análise Unidimensional'!$O$3, "Alto","Baixo")</f>
        <v>Baixo</v>
      </c>
    </row>
    <row r="7" spans="1:9" x14ac:dyDescent="0.3">
      <c r="A7" s="1" t="s">
        <v>12</v>
      </c>
      <c r="B7" s="6">
        <v>12890</v>
      </c>
      <c r="C7" s="4">
        <v>3.92</v>
      </c>
      <c r="D7" s="1">
        <v>100</v>
      </c>
      <c r="E7" s="1" t="s">
        <v>6</v>
      </c>
      <c r="F7" t="str">
        <f>IF(B7 &gt; 'Análise Unidimensional'!$C$3 + 0.5 * 'Análise Unidimensional'!$C$5, "Alto", IF(B7 &lt; 'Análise Unidimensional'!$C$3 - 0.5 * 'Análise Unidimensional'!$C$5, "Baixo", "Médio"))</f>
        <v>Médio</v>
      </c>
      <c r="G7" s="11" t="str">
        <f>IF(D7 &gt;= 'Análise Unidimensional'!$O$3, "Alto","Baixo")</f>
        <v>Alto</v>
      </c>
    </row>
    <row r="8" spans="1:9" x14ac:dyDescent="0.3">
      <c r="A8" s="1" t="s">
        <v>13</v>
      </c>
      <c r="B8" s="6">
        <v>13140</v>
      </c>
      <c r="C8" s="4">
        <v>4.47</v>
      </c>
      <c r="D8" s="1">
        <v>110</v>
      </c>
      <c r="E8" s="1" t="s">
        <v>9</v>
      </c>
      <c r="F8" t="str">
        <f>IF(B8 &gt; 'Análise Unidimensional'!$C$3 + 0.5 * 'Análise Unidimensional'!$C$5, "Alto", IF(B8 &lt; 'Análise Unidimensional'!$C$3 - 0.5 * 'Análise Unidimensional'!$C$5, "Baixo", "Médio"))</f>
        <v>Médio</v>
      </c>
      <c r="G8" s="11" t="str">
        <f>IF(D8 &gt;= 'Análise Unidimensional'!$O$3, "Alto","Baixo")</f>
        <v>Alto</v>
      </c>
    </row>
    <row r="9" spans="1:9" x14ac:dyDescent="0.3">
      <c r="A9" s="1" t="s">
        <v>14</v>
      </c>
      <c r="B9" s="6">
        <v>31640</v>
      </c>
      <c r="C9" s="4">
        <v>4.3600000000000003</v>
      </c>
      <c r="D9" s="1">
        <v>115</v>
      </c>
      <c r="E9" s="1" t="s">
        <v>6</v>
      </c>
      <c r="F9" t="str">
        <f>IF(B9 &gt; 'Análise Unidimensional'!$C$3 + 0.5 * 'Análise Unidimensional'!$C$5, "Alto", IF(B9 &lt; 'Análise Unidimensional'!$C$3 - 0.5 * 'Análise Unidimensional'!$C$5, "Baixo", "Médio"))</f>
        <v>Alto</v>
      </c>
      <c r="G9" s="11" t="str">
        <f>IF(D9 &gt;= 'Análise Unidimensional'!$O$3, "Alto","Baixo")</f>
        <v>Alto</v>
      </c>
    </row>
    <row r="10" spans="1:9" x14ac:dyDescent="0.3">
      <c r="A10" s="1" t="s">
        <v>15</v>
      </c>
      <c r="B10" s="6">
        <v>11630</v>
      </c>
      <c r="C10" s="4">
        <v>4.9800000000000004</v>
      </c>
      <c r="D10" s="1">
        <v>121</v>
      </c>
      <c r="E10" s="1" t="s">
        <v>9</v>
      </c>
      <c r="F10" t="str">
        <f>IF(B10 &gt; 'Análise Unidimensional'!$C$3 + 0.5 * 'Análise Unidimensional'!$C$5, "Alto", IF(B10 &lt; 'Análise Unidimensional'!$C$3 - 0.5 * 'Análise Unidimensional'!$C$5, "Baixo", "Médio"))</f>
        <v>Médio</v>
      </c>
      <c r="G10" s="11" t="str">
        <f>IF(D10 &gt;= 'Análise Unidimensional'!$O$3, "Alto","Baixo")</f>
        <v>Alto</v>
      </c>
    </row>
    <row r="11" spans="1:9" x14ac:dyDescent="0.3">
      <c r="A11" s="1" t="s">
        <v>16</v>
      </c>
      <c r="B11" s="6">
        <v>6700</v>
      </c>
      <c r="C11" s="4">
        <v>4.16</v>
      </c>
      <c r="D11" s="1">
        <v>76</v>
      </c>
      <c r="E11" s="1" t="s">
        <v>9</v>
      </c>
      <c r="F11" t="str">
        <f>IF(B11 &gt; 'Análise Unidimensional'!$C$3 + 0.5 * 'Análise Unidimensional'!$C$5, "Alto", IF(B11 &lt; 'Análise Unidimensional'!$C$3 - 0.5 * 'Análise Unidimensional'!$C$5, "Baixo", "Médio"))</f>
        <v>Baixo</v>
      </c>
      <c r="G11" s="11" t="str">
        <f>IF(D11 &gt;= 'Análise Unidimensional'!$O$3, "Alto","Baixo")</f>
        <v>Baixo</v>
      </c>
    </row>
    <row r="12" spans="1:9" x14ac:dyDescent="0.3">
      <c r="A12" s="1" t="s">
        <v>17</v>
      </c>
      <c r="B12" s="6">
        <v>12923</v>
      </c>
      <c r="C12" s="4">
        <v>4.3899999999999997</v>
      </c>
      <c r="D12" s="1">
        <v>127</v>
      </c>
      <c r="E12" s="1" t="s">
        <v>9</v>
      </c>
      <c r="F12" t="str">
        <f>IF(B12 &gt; 'Análise Unidimensional'!$C$3 + 0.5 * 'Análise Unidimensional'!$C$5, "Alto", IF(B12 &lt; 'Análise Unidimensional'!$C$3 - 0.5 * 'Análise Unidimensional'!$C$5, "Baixo", "Médio"))</f>
        <v>Médio</v>
      </c>
      <c r="G12" s="11" t="str">
        <f>IF(D12 &gt;= 'Análise Unidimensional'!$O$3, "Alto","Baixo")</f>
        <v>Alto</v>
      </c>
    </row>
    <row r="13" spans="1:9" x14ac:dyDescent="0.3">
      <c r="A13" s="1" t="s">
        <v>18</v>
      </c>
      <c r="B13" s="6">
        <v>5257</v>
      </c>
      <c r="C13" s="4">
        <v>3.64</v>
      </c>
      <c r="D13" s="1">
        <v>57</v>
      </c>
      <c r="E13" s="1" t="s">
        <v>9</v>
      </c>
      <c r="F13" t="str">
        <f>IF(B13 &gt; 'Análise Unidimensional'!$C$3 + 0.5 * 'Análise Unidimensional'!$C$5, "Alto", IF(B13 &lt; 'Análise Unidimensional'!$C$3 - 0.5 * 'Análise Unidimensional'!$C$5, "Baixo", "Médio"))</f>
        <v>Baixo</v>
      </c>
      <c r="G13" s="11" t="str">
        <f>IF(D13 &gt;= 'Análise Unidimensional'!$O$3, "Alto","Baixo")</f>
        <v>Baixo</v>
      </c>
    </row>
    <row r="14" spans="1:9" x14ac:dyDescent="0.3">
      <c r="A14" s="1" t="s">
        <v>19</v>
      </c>
      <c r="B14" s="6">
        <v>6260</v>
      </c>
      <c r="C14" s="4">
        <v>3.73</v>
      </c>
      <c r="D14" s="1">
        <v>61</v>
      </c>
      <c r="E14" s="1" t="s">
        <v>9</v>
      </c>
      <c r="F14" t="str">
        <f>IF(B14 &gt; 'Análise Unidimensional'!$C$3 + 0.5 * 'Análise Unidimensional'!$C$5, "Alto", IF(B14 &lt; 'Análise Unidimensional'!$C$3 - 0.5 * 'Análise Unidimensional'!$C$5, "Baixo", "Médio"))</f>
        <v>Baixo</v>
      </c>
      <c r="G14" s="11" t="str">
        <f>IF(D14 &gt;= 'Análise Unidimensional'!$O$3, "Alto","Baixo")</f>
        <v>Baixo</v>
      </c>
    </row>
    <row r="15" spans="1:9" x14ac:dyDescent="0.3">
      <c r="A15" s="1" t="s">
        <v>20</v>
      </c>
      <c r="B15" s="6">
        <v>7780</v>
      </c>
      <c r="C15" s="4">
        <v>4.0999999999999996</v>
      </c>
      <c r="D15" s="1">
        <v>61</v>
      </c>
      <c r="E15" s="1" t="s">
        <v>6</v>
      </c>
      <c r="F15" t="str">
        <f>IF(B15 &gt; 'Análise Unidimensional'!$C$3 + 0.5 * 'Análise Unidimensional'!$C$5, "Alto", IF(B15 &lt; 'Análise Unidimensional'!$C$3 - 0.5 * 'Análise Unidimensional'!$C$5, "Baixo", "Médio"))</f>
        <v>Baixo</v>
      </c>
      <c r="G15" s="11" t="str">
        <f>IF(D15 &gt;= 'Análise Unidimensional'!$O$3, "Alto","Baixo")</f>
        <v>Baixo</v>
      </c>
    </row>
    <row r="16" spans="1:9" x14ac:dyDescent="0.3">
      <c r="A16" s="1" t="s">
        <v>21</v>
      </c>
      <c r="B16" s="6">
        <v>10767</v>
      </c>
      <c r="C16" s="4">
        <v>4.2</v>
      </c>
      <c r="D16" s="1">
        <v>115</v>
      </c>
      <c r="E16" s="1" t="s">
        <v>6</v>
      </c>
      <c r="F16" t="str">
        <f>IF(B16 &gt; 'Análise Unidimensional'!$C$3 + 0.5 * 'Análise Unidimensional'!$C$5, "Alto", IF(B16 &lt; 'Análise Unidimensional'!$C$3 - 0.5 * 'Análise Unidimensional'!$C$5, "Baixo", "Médio"))</f>
        <v>Médio</v>
      </c>
      <c r="G16" s="11" t="str">
        <f>IF(D16 &gt;= 'Análise Unidimensional'!$O$3, "Alto","Baixo")</f>
        <v>Alto</v>
      </c>
    </row>
    <row r="17" spans="1:8" x14ac:dyDescent="0.3">
      <c r="A17" s="1" t="s">
        <v>22</v>
      </c>
      <c r="B17" s="6">
        <v>6316</v>
      </c>
      <c r="C17" s="4">
        <v>3.83</v>
      </c>
      <c r="D17" s="1">
        <v>52</v>
      </c>
      <c r="E17" s="1" t="s">
        <v>9</v>
      </c>
      <c r="F17" t="str">
        <f>IF(B17 &gt; 'Análise Unidimensional'!$C$3 + 0.5 * 'Análise Unidimensional'!$C$5, "Alto", IF(B17 &lt; 'Análise Unidimensional'!$C$3 - 0.5 * 'Análise Unidimensional'!$C$5, "Baixo", "Médio"))</f>
        <v>Baixo</v>
      </c>
      <c r="G17" s="11" t="str">
        <f>IF(D17 &gt;= 'Análise Unidimensional'!$O$3, "Alto","Baixo")</f>
        <v>Baixo</v>
      </c>
    </row>
    <row r="18" spans="1:8" x14ac:dyDescent="0.3">
      <c r="A18" s="1" t="s">
        <v>23</v>
      </c>
      <c r="B18" s="6">
        <v>5680</v>
      </c>
      <c r="C18" s="4">
        <v>3.62</v>
      </c>
      <c r="D18" s="1">
        <v>54</v>
      </c>
      <c r="E18" s="1" t="s">
        <v>9</v>
      </c>
      <c r="F18" t="str">
        <f>IF(B18 &gt; 'Análise Unidimensional'!$C$3 + 0.5 * 'Análise Unidimensional'!$C$5, "Alto", IF(B18 &lt; 'Análise Unidimensional'!$C$3 - 0.5 * 'Análise Unidimensional'!$C$5, "Baixo", "Médio"))</f>
        <v>Baixo</v>
      </c>
      <c r="G18" s="11" t="str">
        <f>IF(D18 &gt;= 'Análise Unidimensional'!$O$3, "Alto","Baixo")</f>
        <v>Baixo</v>
      </c>
    </row>
    <row r="19" spans="1:8" x14ac:dyDescent="0.3">
      <c r="A19" s="1" t="s">
        <v>24</v>
      </c>
      <c r="B19" s="6">
        <v>33718</v>
      </c>
      <c r="C19" s="4">
        <v>4.5600000000000005</v>
      </c>
      <c r="D19" s="1">
        <v>130</v>
      </c>
      <c r="E19" s="1" t="s">
        <v>6</v>
      </c>
      <c r="F19" t="str">
        <f>IF(B19 &gt; 'Análise Unidimensional'!$C$3 + 0.5 * 'Análise Unidimensional'!$C$5, "Alto", IF(B19 &lt; 'Análise Unidimensional'!$C$3 - 0.5 * 'Análise Unidimensional'!$C$5, "Baixo", "Médio"))</f>
        <v>Alto</v>
      </c>
      <c r="G19" s="11" t="str">
        <f>IF(D19 &gt;= 'Análise Unidimensional'!$O$3, "Alto","Baixo")</f>
        <v>Alto</v>
      </c>
    </row>
    <row r="20" spans="1:8" x14ac:dyDescent="0.3">
      <c r="A20" s="1" t="s">
        <v>25</v>
      </c>
      <c r="B20" s="6">
        <v>14460</v>
      </c>
      <c r="C20" s="4">
        <v>4.45</v>
      </c>
      <c r="D20" s="1">
        <v>106</v>
      </c>
      <c r="E20" s="1" t="s">
        <v>9</v>
      </c>
      <c r="F20" t="str">
        <f>IF(B20 &gt; 'Análise Unidimensional'!$C$3 + 0.5 * 'Análise Unidimensional'!$C$5, "Alto", IF(B20 &lt; 'Análise Unidimensional'!$C$3 - 0.5 * 'Análise Unidimensional'!$C$5, "Baixo", "Médio"))</f>
        <v>Médio</v>
      </c>
      <c r="G20" s="11" t="str">
        <f>IF(D20 &gt;= 'Análise Unidimensional'!$O$3, "Alto","Baixo")</f>
        <v>Alto</v>
      </c>
    </row>
    <row r="21" spans="1:8" x14ac:dyDescent="0.3">
      <c r="A21" s="1" t="s">
        <v>26</v>
      </c>
      <c r="B21" s="6">
        <v>21500</v>
      </c>
      <c r="C21" s="4">
        <v>4.12</v>
      </c>
      <c r="D21" s="1">
        <v>91</v>
      </c>
      <c r="E21" s="1" t="s">
        <v>6</v>
      </c>
      <c r="F21" t="str">
        <f>IF(B21 &gt; 'Análise Unidimensional'!$C$3 + 0.5 * 'Análise Unidimensional'!$C$5, "Alto", IF(B21 &lt; 'Análise Unidimensional'!$C$3 - 0.5 * 'Análise Unidimensional'!$C$5, "Baixo", "Médio"))</f>
        <v>Alto</v>
      </c>
      <c r="G21" s="11" t="str">
        <f>IF(D21 &gt;= 'Análise Unidimensional'!$O$3, "Alto","Baixo")</f>
        <v>Alto</v>
      </c>
    </row>
    <row r="22" spans="1:8" x14ac:dyDescent="0.3">
      <c r="A22" s="1" t="s">
        <v>27</v>
      </c>
      <c r="B22" s="6">
        <v>13840</v>
      </c>
      <c r="C22" s="4">
        <v>3.68</v>
      </c>
      <c r="D22" s="1">
        <v>50</v>
      </c>
      <c r="E22" s="1" t="s">
        <v>6</v>
      </c>
      <c r="F22" t="str">
        <f>IF(B22 &gt; 'Análise Unidimensional'!$C$3 + 0.5 * 'Análise Unidimensional'!$C$5, "Alto", IF(B22 &lt; 'Análise Unidimensional'!$C$3 - 0.5 * 'Análise Unidimensional'!$C$5, "Baixo", "Médio"))</f>
        <v>Médio</v>
      </c>
      <c r="G22" s="11" t="str">
        <f>IF(D22 &gt;= 'Análise Unidimensional'!$O$3, "Alto","Baixo")</f>
        <v>Baixo</v>
      </c>
    </row>
    <row r="23" spans="1:8" x14ac:dyDescent="0.3">
      <c r="A23" s="1" t="s">
        <v>28</v>
      </c>
      <c r="B23" s="6">
        <v>13700</v>
      </c>
      <c r="C23" s="4">
        <v>3.7</v>
      </c>
      <c r="D23" s="1">
        <v>74</v>
      </c>
      <c r="E23" s="1" t="s">
        <v>6</v>
      </c>
      <c r="F23" t="str">
        <f>IF(B23 &gt; 'Análise Unidimensional'!$C$3 + 0.5 * 'Análise Unidimensional'!$C$5, "Alto", IF(B23 &lt; 'Análise Unidimensional'!$C$3 - 0.5 * 'Análise Unidimensional'!$C$5, "Baixo", "Médio"))</f>
        <v>Médio</v>
      </c>
      <c r="G23" s="11" t="str">
        <f>IF(D23 &gt;= 'Análise Unidimensional'!$O$3, "Alto","Baixo")</f>
        <v>Baixo</v>
      </c>
    </row>
    <row r="24" spans="1:8" x14ac:dyDescent="0.3">
      <c r="A24" s="1" t="s">
        <v>29</v>
      </c>
      <c r="B24" s="6">
        <v>15520</v>
      </c>
      <c r="C24" s="4">
        <v>4.3899999999999997</v>
      </c>
      <c r="D24" s="1">
        <v>116</v>
      </c>
      <c r="E24" s="1" t="s">
        <v>9</v>
      </c>
      <c r="F24" t="str">
        <f>IF(B24 &gt; 'Análise Unidimensional'!$C$3 + 0.5 * 'Análise Unidimensional'!$C$5, "Alto", IF(B24 &lt; 'Análise Unidimensional'!$C$3 - 0.5 * 'Análise Unidimensional'!$C$5, "Baixo", "Médio"))</f>
        <v>Médio</v>
      </c>
      <c r="G24" s="11" t="str">
        <f>IF(D24 &gt;= 'Análise Unidimensional'!$O$3, "Alto","Baixo")</f>
        <v>Alto</v>
      </c>
    </row>
    <row r="25" spans="1:8" x14ac:dyDescent="0.3">
      <c r="A25" s="1" t="s">
        <v>30</v>
      </c>
      <c r="B25" s="6">
        <v>24632</v>
      </c>
      <c r="C25" s="4">
        <v>4.4000000000000004</v>
      </c>
      <c r="D25" s="1">
        <v>96</v>
      </c>
      <c r="E25" s="1" t="s">
        <v>9</v>
      </c>
      <c r="F25" t="str">
        <f>IF(B25 &gt; 'Análise Unidimensional'!$C$3 + 0.5 * 'Análise Unidimensional'!$C$5, "Alto", IF(B25 &lt; 'Análise Unidimensional'!$C$3 - 0.5 * 'Análise Unidimensional'!$C$5, "Baixo", "Médio"))</f>
        <v>Alto</v>
      </c>
      <c r="G25" s="11" t="str">
        <f>IF(D25 &gt;= 'Análise Unidimensional'!$O$3, "Alto","Baixo")</f>
        <v>Alto</v>
      </c>
    </row>
    <row r="26" spans="1:8" x14ac:dyDescent="0.3">
      <c r="A26" s="1" t="s">
        <v>31</v>
      </c>
      <c r="B26" s="6">
        <v>6340</v>
      </c>
      <c r="C26" s="4">
        <v>3.81</v>
      </c>
      <c r="D26" s="1">
        <v>54</v>
      </c>
      <c r="E26" s="1" t="s">
        <v>9</v>
      </c>
      <c r="F26" t="str">
        <f>IF(B26 &gt; 'Análise Unidimensional'!$C$3 + 0.5 * 'Análise Unidimensional'!$C$5, "Alto", IF(B26 &lt; 'Análise Unidimensional'!$C$3 - 0.5 * 'Análise Unidimensional'!$C$5, "Baixo", "Médio"))</f>
        <v>Baixo</v>
      </c>
      <c r="G26" s="11" t="str">
        <f>IF(D26 &gt;= 'Análise Unidimensional'!$O$3, "Alto","Baixo")</f>
        <v>Baixo</v>
      </c>
    </row>
    <row r="27" spans="1:8" x14ac:dyDescent="0.3">
      <c r="A27" s="1" t="s">
        <v>32</v>
      </c>
      <c r="B27" s="6">
        <v>22200</v>
      </c>
      <c r="C27" s="4">
        <v>4.1500000000000004</v>
      </c>
      <c r="D27" s="1">
        <v>100</v>
      </c>
      <c r="E27" s="1" t="s">
        <v>6</v>
      </c>
      <c r="F27" t="str">
        <f>IF(B27 &gt; 'Análise Unidimensional'!$C$3 + 0.5 * 'Análise Unidimensional'!$C$5, "Alto", IF(B27 &lt; 'Análise Unidimensional'!$C$3 - 0.5 * 'Análise Unidimensional'!$C$5, "Baixo", "Médio"))</f>
        <v>Alto</v>
      </c>
      <c r="G27" s="11" t="str">
        <f>IF(D27 &gt;= 'Análise Unidimensional'!$O$3, "Alto","Baixo")</f>
        <v>Alto</v>
      </c>
    </row>
    <row r="28" spans="1:8" x14ac:dyDescent="0.3">
      <c r="A28" s="1" t="s">
        <v>33</v>
      </c>
      <c r="B28" s="6">
        <v>9300</v>
      </c>
      <c r="C28" s="4">
        <v>4.08</v>
      </c>
      <c r="D28" s="1">
        <v>69</v>
      </c>
      <c r="E28" s="1" t="s">
        <v>9</v>
      </c>
      <c r="F28" t="str">
        <f>IF(B28 &gt; 'Análise Unidimensional'!$C$3 + 0.5 * 'Análise Unidimensional'!$C$5, "Alto", IF(B28 &lt; 'Análise Unidimensional'!$C$3 - 0.5 * 'Análise Unidimensional'!$C$5, "Baixo", "Médio"))</f>
        <v>Baixo</v>
      </c>
      <c r="G28" s="11" t="str">
        <f>IF(D28 &gt;= 'Análise Unidimensional'!$O$3, "Alto","Baixo")</f>
        <v>Baixo</v>
      </c>
    </row>
    <row r="29" spans="1:8" x14ac:dyDescent="0.3">
      <c r="A29" s="1" t="s">
        <v>34</v>
      </c>
      <c r="B29" s="6">
        <v>12018</v>
      </c>
      <c r="C29" s="4">
        <v>4.1399999999999997</v>
      </c>
      <c r="D29" s="1">
        <v>99</v>
      </c>
      <c r="E29" s="1" t="s">
        <v>6</v>
      </c>
      <c r="F29" t="str">
        <f>IF(B29 &gt; 'Análise Unidimensional'!$C$3 + 0.5 * 'Análise Unidimensional'!$C$5, "Alto", IF(B29 &lt; 'Análise Unidimensional'!$C$3 - 0.5 * 'Análise Unidimensional'!$C$5, "Baixo", "Médio"))</f>
        <v>Médio</v>
      </c>
      <c r="G29" s="11" t="str">
        <f>IF(D29 &gt;= 'Análise Unidimensional'!$O$3, "Alto","Baixo")</f>
        <v>Alto</v>
      </c>
    </row>
    <row r="30" spans="1:8" x14ac:dyDescent="0.3">
      <c r="A30" s="1" t="s">
        <v>35</v>
      </c>
      <c r="B30" s="6">
        <v>11386</v>
      </c>
      <c r="C30" s="4">
        <v>4.57</v>
      </c>
      <c r="D30" s="1">
        <v>101</v>
      </c>
      <c r="E30" s="1" t="s">
        <v>9</v>
      </c>
      <c r="F30" t="str">
        <f>IF(B30 &gt; 'Análise Unidimensional'!$C$3 + 0.5 * 'Análise Unidimensional'!$C$5, "Alto", IF(B30 &lt; 'Análise Unidimensional'!$C$3 - 0.5 * 'Análise Unidimensional'!$C$5, "Baixo", "Médio"))</f>
        <v>Médio</v>
      </c>
      <c r="G30" s="11" t="str">
        <f>IF(D30 &gt;= 'Análise Unidimensional'!$O$3, "Alto","Baixo")</f>
        <v>Alto</v>
      </c>
    </row>
    <row r="31" spans="1:8" x14ac:dyDescent="0.3">
      <c r="A31" s="3" t="s">
        <v>36</v>
      </c>
      <c r="B31" s="9">
        <v>7742</v>
      </c>
      <c r="C31" s="5">
        <v>4.38</v>
      </c>
      <c r="D31" s="3">
        <v>88</v>
      </c>
      <c r="E31" s="3" t="s">
        <v>9</v>
      </c>
      <c r="F31" t="str">
        <f>IF(B31 &gt; 'Análise Unidimensional'!$C$3 + 0.5 * 'Análise Unidimensional'!$C$5, "Alto", IF(B31 &lt; 'Análise Unidimensional'!$C$3 - 0.5 * 'Análise Unidimensional'!$C$5, "Baixo", "Médio"))</f>
        <v>Baixo</v>
      </c>
      <c r="G31" s="11" t="str">
        <f>IF(D31 &gt;= 'Análise Unidimensional'!$O$3, "Alto","Baixo")</f>
        <v>Baixo</v>
      </c>
    </row>
    <row r="32" spans="1:8" x14ac:dyDescent="0.3">
      <c r="H32" s="11"/>
    </row>
  </sheetData>
  <conditionalFormatting sqref="F1:F31">
    <cfRule type="containsText" dxfId="4" priority="5" operator="containsText" text="Médio">
      <formula>NOT(ISERROR(SEARCH("Médio",F1)))</formula>
    </cfRule>
    <cfRule type="containsText" dxfId="3" priority="6" operator="containsText" text="Baixo">
      <formula>NOT(ISERROR(SEARCH("Baixo",F1)))</formula>
    </cfRule>
    <cfRule type="containsText" dxfId="2" priority="7" operator="containsText" text="Alto">
      <formula>NOT(ISERROR(SEARCH("Alto",F1)))</formula>
    </cfRule>
  </conditionalFormatting>
  <conditionalFormatting sqref="G2:G31">
    <cfRule type="containsText" dxfId="1" priority="1" operator="containsText" text="Alto">
      <formula>NOT(ISERROR(SEARCH("Alto",G2)))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0" priority="4" operator="containsText" text="Baixo">
      <formula>NOT(ISERROR(SEARCH("Baixo",G2)))</formula>
    </cfRule>
  </conditionalFormatting>
  <conditionalFormatting sqref="G32:G1048576 F1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C8C5-320D-440A-BAE3-F84B8E82CE56}">
  <dimension ref="A2:U19"/>
  <sheetViews>
    <sheetView workbookViewId="0">
      <selection activeCell="D14" sqref="D14"/>
    </sheetView>
  </sheetViews>
  <sheetFormatPr defaultRowHeight="14.4" x14ac:dyDescent="0.3"/>
  <cols>
    <col min="1" max="1" width="10.44140625" customWidth="1"/>
    <col min="2" max="2" width="12.44140625" bestFit="1" customWidth="1"/>
    <col min="3" max="3" width="21" customWidth="1"/>
    <col min="4" max="4" width="18.77734375" bestFit="1" customWidth="1"/>
    <col min="8" max="8" width="18" customWidth="1"/>
    <col min="9" max="9" width="15.88671875" customWidth="1"/>
    <col min="10" max="10" width="17.6640625" bestFit="1" customWidth="1"/>
    <col min="12" max="12" width="4.21875" customWidth="1"/>
    <col min="13" max="13" width="14" customWidth="1"/>
    <col min="14" max="14" width="18.44140625" customWidth="1"/>
    <col min="15" max="15" width="19.5546875" customWidth="1"/>
    <col min="16" max="16" width="17.6640625" bestFit="1" customWidth="1"/>
  </cols>
  <sheetData>
    <row r="2" spans="1:21" x14ac:dyDescent="0.3">
      <c r="B2" s="32" t="s">
        <v>37</v>
      </c>
      <c r="C2" s="32"/>
      <c r="H2" s="32" t="s">
        <v>2</v>
      </c>
      <c r="I2" s="32"/>
      <c r="J2" s="15"/>
      <c r="N2" s="32" t="s">
        <v>3</v>
      </c>
      <c r="O2" s="32"/>
      <c r="T2" s="33" t="s">
        <v>44</v>
      </c>
      <c r="U2" s="34"/>
    </row>
    <row r="3" spans="1:21" x14ac:dyDescent="0.3">
      <c r="B3" s="12" t="s">
        <v>38</v>
      </c>
      <c r="C3" s="13">
        <f>AVERAGE(Veículos!B2:B31)</f>
        <v>13956.1</v>
      </c>
      <c r="H3" s="12" t="s">
        <v>38</v>
      </c>
      <c r="I3" s="13">
        <f>AVERAGE(Veículos!C2:C31)</f>
        <v>4.1260000000000012</v>
      </c>
      <c r="N3" s="12" t="s">
        <v>38</v>
      </c>
      <c r="O3" s="13">
        <f>AVERAGE(Veículos!D2:D31)</f>
        <v>88.8</v>
      </c>
      <c r="T3" s="14" t="s">
        <v>9</v>
      </c>
      <c r="U3" s="14">
        <f>COUNTIF(Veículos!$E$2:$E$31,'Análise Unidimensional'!T3)</f>
        <v>18</v>
      </c>
    </row>
    <row r="4" spans="1:21" x14ac:dyDescent="0.3">
      <c r="B4" s="12" t="s">
        <v>43</v>
      </c>
      <c r="C4" s="14">
        <f>_xlfn.VAR.P(Veículos!B2:B31)</f>
        <v>72087425.156666666</v>
      </c>
      <c r="H4" s="12" t="s">
        <v>43</v>
      </c>
      <c r="I4" s="12">
        <f>_xlfn.VAR.P(Veículos!C2:C31)</f>
        <v>0.13035066666666667</v>
      </c>
      <c r="N4" s="12" t="s">
        <v>43</v>
      </c>
      <c r="O4" s="12">
        <f>_xlfn.VAR.P(Veículos!D2:D31)</f>
        <v>716.42666666666662</v>
      </c>
      <c r="T4" s="14" t="s">
        <v>6</v>
      </c>
      <c r="U4" s="14">
        <f>COUNTIF(Veículos!$E$2:$E$31,'Análise Unidimensional'!T4)</f>
        <v>12</v>
      </c>
    </row>
    <row r="5" spans="1:21" x14ac:dyDescent="0.3">
      <c r="B5" s="12" t="s">
        <v>42</v>
      </c>
      <c r="C5" s="14">
        <f>SQRT(C4)</f>
        <v>8490.4313881372764</v>
      </c>
      <c r="H5" s="12" t="s">
        <v>42</v>
      </c>
      <c r="I5" s="14">
        <f>SQRT(I4)</f>
        <v>0.36104108722784817</v>
      </c>
      <c r="N5" s="12" t="s">
        <v>42</v>
      </c>
      <c r="O5" s="14">
        <f>SQRT(O4)</f>
        <v>26.766147774131909</v>
      </c>
    </row>
    <row r="6" spans="1:21" x14ac:dyDescent="0.3">
      <c r="B6" s="12" t="s">
        <v>73</v>
      </c>
      <c r="C6" s="14">
        <f>_xlfn.QUARTILE.INC(Veículos!B2:B31,0)</f>
        <v>5257</v>
      </c>
      <c r="H6" s="12" t="s">
        <v>73</v>
      </c>
      <c r="I6" s="14">
        <f>_xlfn.QUARTILE.INC(Veículos!C2:C31,0)</f>
        <v>3.36</v>
      </c>
      <c r="N6" s="12" t="s">
        <v>73</v>
      </c>
      <c r="O6" s="14">
        <f>_xlfn.QUARTILE.INC(Veículos!D2:D31,0)</f>
        <v>40</v>
      </c>
    </row>
    <row r="7" spans="1:21" x14ac:dyDescent="0.3">
      <c r="B7" s="12" t="s">
        <v>40</v>
      </c>
      <c r="C7" s="14">
        <f>_xlfn.QUARTILE.INC(Veículos!B2:B31,1)</f>
        <v>7751.5</v>
      </c>
      <c r="H7" s="12" t="s">
        <v>40</v>
      </c>
      <c r="I7" s="14">
        <f>_xlfn.QUARTILE.INC(Veículos!C2:C31,1)</f>
        <v>3.8149999999999999</v>
      </c>
      <c r="N7" s="12" t="s">
        <v>40</v>
      </c>
      <c r="O7" s="14">
        <f>_xlfn.QUARTILE.INC(Veículos!D2:D31,1)</f>
        <v>61</v>
      </c>
    </row>
    <row r="8" spans="1:21" x14ac:dyDescent="0.3">
      <c r="B8" s="12" t="s">
        <v>39</v>
      </c>
      <c r="C8" s="13">
        <f>MEDIAN(Veículos!B2:B31)</f>
        <v>11824</v>
      </c>
      <c r="H8" s="12" t="s">
        <v>39</v>
      </c>
      <c r="I8" s="13">
        <f>MEDIAN(Veículos!C2:C31)</f>
        <v>4.1449999999999996</v>
      </c>
      <c r="N8" s="12" t="s">
        <v>39</v>
      </c>
      <c r="O8" s="13">
        <f>MEDIAN(Veículos!D2:D31)</f>
        <v>97.5</v>
      </c>
    </row>
    <row r="9" spans="1:21" x14ac:dyDescent="0.3">
      <c r="B9" s="12" t="s">
        <v>41</v>
      </c>
      <c r="C9" s="14">
        <f>_xlfn.QUARTILE.INC(Veículos!B2:B31,3)</f>
        <v>15255</v>
      </c>
      <c r="H9" s="12" t="s">
        <v>41</v>
      </c>
      <c r="I9" s="14">
        <f>_xlfn.QUARTILE.INC(Veículos!C2:C31,3)</f>
        <v>4.3899999999999997</v>
      </c>
      <c r="N9" s="12" t="s">
        <v>41</v>
      </c>
      <c r="O9" s="14">
        <f>_xlfn.QUARTILE.INC(Veículos!D2:D31,3)</f>
        <v>110</v>
      </c>
    </row>
    <row r="10" spans="1:21" x14ac:dyDescent="0.3">
      <c r="B10" s="12" t="s">
        <v>77</v>
      </c>
      <c r="C10" s="14">
        <f>_xlfn.QUARTILE.INC(Veículos!B2:B31,4)</f>
        <v>38850</v>
      </c>
      <c r="H10" s="12" t="s">
        <v>77</v>
      </c>
      <c r="I10" s="14">
        <f>_xlfn.QUARTILE.INC(Veículos!C2:C31,4)</f>
        <v>4.9800000000000004</v>
      </c>
      <c r="N10" s="12" t="s">
        <v>77</v>
      </c>
      <c r="O10" s="14">
        <f>_xlfn.QUARTILE.INC(Veículos!D2:D31,4)</f>
        <v>130</v>
      </c>
    </row>
    <row r="12" spans="1:21" x14ac:dyDescent="0.3">
      <c r="A12" s="25" t="s">
        <v>81</v>
      </c>
      <c r="B12" s="26" t="s">
        <v>82</v>
      </c>
      <c r="C12" s="25" t="s">
        <v>83</v>
      </c>
      <c r="D12" s="25" t="s">
        <v>84</v>
      </c>
      <c r="G12" s="25" t="s">
        <v>81</v>
      </c>
      <c r="H12" s="26" t="s">
        <v>82</v>
      </c>
      <c r="I12" s="25" t="s">
        <v>83</v>
      </c>
      <c r="J12" s="25" t="s">
        <v>84</v>
      </c>
      <c r="M12" s="25" t="s">
        <v>81</v>
      </c>
      <c r="N12" s="26" t="s">
        <v>82</v>
      </c>
      <c r="O12" s="25" t="s">
        <v>83</v>
      </c>
      <c r="P12" s="25" t="s">
        <v>84</v>
      </c>
    </row>
    <row r="13" spans="1:21" x14ac:dyDescent="0.3">
      <c r="A13" s="27">
        <v>5000</v>
      </c>
      <c r="B13" s="28">
        <v>12000</v>
      </c>
      <c r="C13" s="27" t="str">
        <f>A13&amp;" |-- "&amp;B13</f>
        <v>5000 |-- 12000</v>
      </c>
      <c r="D13" s="27">
        <f>COUNTIFS(Veículos!B:B, "&gt;="&amp;A13, Veículos!B:B, "&lt;"&amp;B13)</f>
        <v>15</v>
      </c>
      <c r="G13" s="27">
        <v>3.2</v>
      </c>
      <c r="H13" s="28">
        <v>3.5</v>
      </c>
      <c r="I13" s="27" t="str">
        <f>G13&amp;" |-- "&amp;H13</f>
        <v>3,2 |-- 3,5</v>
      </c>
      <c r="J13" s="27">
        <f>COUNTIFS(Tabela1[Comprimento], "&gt;="&amp;G13, Tabela1[Comprimento], "&lt;"&amp;H13)</f>
        <v>1</v>
      </c>
      <c r="M13" s="27">
        <v>40</v>
      </c>
      <c r="N13" s="28">
        <v>60</v>
      </c>
      <c r="O13" s="27" t="str">
        <f>M13&amp;" |-- "&amp;N13</f>
        <v>40 |-- 60</v>
      </c>
      <c r="P13" s="27">
        <f>COUNTIFS(Tabela1[Motor], "&gt;="&amp;M13, Tabela1[Motor], "&lt;"&amp;N13)</f>
        <v>6</v>
      </c>
    </row>
    <row r="14" spans="1:21" x14ac:dyDescent="0.3">
      <c r="A14" s="27">
        <f>B13</f>
        <v>12000</v>
      </c>
      <c r="B14" s="28">
        <f>A14+B13-A13</f>
        <v>19000</v>
      </c>
      <c r="C14" s="27" t="str">
        <f t="shared" ref="C14:C17" si="0">A14&amp;" |-- "&amp;B14</f>
        <v>12000 |-- 19000</v>
      </c>
      <c r="D14" s="27">
        <f>COUNTIFS(Veículos!B:B, "&gt;="&amp;A14, Veículos!B:B, "&lt;"&amp;B14)</f>
        <v>9</v>
      </c>
      <c r="G14" s="27">
        <f>H13</f>
        <v>3.5</v>
      </c>
      <c r="H14" s="28">
        <f>G14+H13-G13</f>
        <v>3.8</v>
      </c>
      <c r="I14" s="27" t="str">
        <f t="shared" ref="I14:I17" si="1">G14&amp;" |-- "&amp;H14</f>
        <v>3,5 |-- 3,8</v>
      </c>
      <c r="J14" s="27">
        <f>COUNTIFS(Tabela1[Comprimento], "&gt;="&amp;G14, Tabela1[Comprimento], "&lt;"&amp;H14)</f>
        <v>6</v>
      </c>
      <c r="M14" s="27">
        <f>N13</f>
        <v>60</v>
      </c>
      <c r="N14" s="28">
        <f>M14+N13-M13</f>
        <v>80</v>
      </c>
      <c r="O14" s="27" t="str">
        <f t="shared" ref="O14:O17" si="2">M14&amp;" |-- "&amp;N14</f>
        <v>60 |-- 80</v>
      </c>
      <c r="P14" s="27">
        <f>COUNTIFS(Tabela1[Motor], "&gt;="&amp;M14, Tabela1[Motor], "&lt;"&amp;N14)</f>
        <v>6</v>
      </c>
    </row>
    <row r="15" spans="1:21" x14ac:dyDescent="0.3">
      <c r="A15" s="27">
        <f t="shared" ref="A15:A17" si="3">B14</f>
        <v>19000</v>
      </c>
      <c r="B15" s="28">
        <f t="shared" ref="B15:B17" si="4">A15+B14-A14</f>
        <v>26000</v>
      </c>
      <c r="C15" s="27" t="str">
        <f t="shared" si="0"/>
        <v>19000 |-- 26000</v>
      </c>
      <c r="D15" s="27">
        <f>COUNTIFS(Veículos!B:B, "&gt;="&amp;A15, Veículos!B:B, "&lt;"&amp;B15)</f>
        <v>3</v>
      </c>
      <c r="G15" s="27">
        <f t="shared" ref="G15:G17" si="5">H14</f>
        <v>3.8</v>
      </c>
      <c r="H15" s="28">
        <f t="shared" ref="H15:H17" si="6">G15+H14-G14</f>
        <v>4.0999999999999996</v>
      </c>
      <c r="I15" s="27" t="str">
        <f t="shared" si="1"/>
        <v>3,8 |-- 4,1</v>
      </c>
      <c r="J15" s="27">
        <f>COUNTIFS(Tabela1[Comprimento], "&gt;="&amp;G15, Tabela1[Comprimento], "&lt;"&amp;H15)</f>
        <v>4</v>
      </c>
      <c r="M15" s="27">
        <f t="shared" ref="M15:M17" si="7">N14</f>
        <v>80</v>
      </c>
      <c r="N15" s="28">
        <f t="shared" ref="N15:N17" si="8">M15+N14-M14</f>
        <v>100</v>
      </c>
      <c r="O15" s="27" t="str">
        <f t="shared" si="2"/>
        <v>80 |-- 100</v>
      </c>
      <c r="P15" s="27">
        <f>COUNTIFS(Tabela1[Motor], "&gt;="&amp;M15, Tabela1[Motor], "&lt;"&amp;N15)</f>
        <v>4</v>
      </c>
    </row>
    <row r="16" spans="1:21" x14ac:dyDescent="0.3">
      <c r="A16" s="27">
        <f t="shared" si="3"/>
        <v>26000</v>
      </c>
      <c r="B16" s="28">
        <f t="shared" si="4"/>
        <v>33000</v>
      </c>
      <c r="C16" s="27" t="str">
        <f t="shared" si="0"/>
        <v>26000 |-- 33000</v>
      </c>
      <c r="D16" s="27">
        <f>COUNTIFS(Veículos!B:B, "&gt;="&amp;A16, Veículos!B:B, "&lt;"&amp;B16)</f>
        <v>1</v>
      </c>
      <c r="G16" s="27">
        <f t="shared" si="5"/>
        <v>4.0999999999999996</v>
      </c>
      <c r="H16" s="28">
        <f t="shared" si="6"/>
        <v>4.3999999999999995</v>
      </c>
      <c r="I16" s="27" t="str">
        <f t="shared" si="1"/>
        <v>4,1 |-- 4,4</v>
      </c>
      <c r="J16" s="27">
        <f>COUNTIFS(Tabela1[Comprimento], "&gt;="&amp;G16, Tabela1[Comprimento], "&lt;"&amp;H16)</f>
        <v>12</v>
      </c>
      <c r="M16" s="27">
        <f t="shared" si="7"/>
        <v>100</v>
      </c>
      <c r="N16" s="28">
        <f t="shared" si="8"/>
        <v>120</v>
      </c>
      <c r="O16" s="27" t="str">
        <f t="shared" si="2"/>
        <v>100 |-- 120</v>
      </c>
      <c r="P16" s="27">
        <f>COUNTIFS(Tabela1[Motor], "&gt;="&amp;M16, Tabela1[Motor], "&lt;"&amp;N16)</f>
        <v>10</v>
      </c>
    </row>
    <row r="17" spans="1:16" x14ac:dyDescent="0.3">
      <c r="A17" s="27">
        <f t="shared" si="3"/>
        <v>33000</v>
      </c>
      <c r="B17" s="28">
        <f t="shared" si="4"/>
        <v>40000</v>
      </c>
      <c r="C17" s="27" t="str">
        <f t="shared" si="0"/>
        <v>33000 |-- 40000</v>
      </c>
      <c r="D17" s="27">
        <f>COUNTIFS(Veículos!B:B, "&gt;="&amp;A17, Veículos!B:B, "&lt;"&amp;B17)</f>
        <v>2</v>
      </c>
      <c r="G17" s="27">
        <f t="shared" si="5"/>
        <v>4.3999999999999995</v>
      </c>
      <c r="H17" s="28">
        <f t="shared" si="6"/>
        <v>4.6999999999999993</v>
      </c>
      <c r="I17" s="27" t="str">
        <f t="shared" si="1"/>
        <v>4,4 |-- 4,7</v>
      </c>
      <c r="J17" s="27">
        <f>COUNTIFS(Tabela1[Comprimento], "&gt;="&amp;G17, Tabela1[Comprimento], "&lt;"&amp;H17)</f>
        <v>6</v>
      </c>
      <c r="M17" s="27">
        <f t="shared" si="7"/>
        <v>120</v>
      </c>
      <c r="N17" s="28">
        <f t="shared" si="8"/>
        <v>140</v>
      </c>
      <c r="O17" s="27" t="str">
        <f t="shared" si="2"/>
        <v>120 |-- 140</v>
      </c>
      <c r="P17" s="27">
        <f>COUNTIFS(Tabela1[Motor], "&gt;="&amp;M17, Tabela1[Motor], "&lt;"&amp;N17)</f>
        <v>4</v>
      </c>
    </row>
    <row r="18" spans="1:16" x14ac:dyDescent="0.3">
      <c r="A18" s="29"/>
      <c r="B18" s="29"/>
      <c r="C18" s="29"/>
      <c r="D18" s="29"/>
      <c r="G18" s="27">
        <f t="shared" ref="G18" si="9">H17</f>
        <v>4.6999999999999993</v>
      </c>
      <c r="H18" s="28">
        <f t="shared" ref="H18" si="10">G18+H17-G17</f>
        <v>4.9999999999999991</v>
      </c>
      <c r="I18" s="27" t="str">
        <f t="shared" ref="I18" si="11">G18&amp;" |-- "&amp;H18</f>
        <v>4,7 |-- 5</v>
      </c>
      <c r="J18" s="27">
        <f>COUNTIFS(Tabela1[Comprimento], "&gt;="&amp;G18, Tabela1[Comprimento], "&lt;"&amp;H18)</f>
        <v>1</v>
      </c>
      <c r="M18" s="29"/>
      <c r="N18" s="29"/>
      <c r="O18" s="29"/>
      <c r="P18" s="29"/>
    </row>
    <row r="19" spans="1:16" x14ac:dyDescent="0.3">
      <c r="J19" s="30"/>
    </row>
  </sheetData>
  <mergeCells count="4">
    <mergeCell ref="B2:C2"/>
    <mergeCell ref="H2:I2"/>
    <mergeCell ref="N2:O2"/>
    <mergeCell ref="T2:U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601F-ABFA-4DD6-A05E-4332FFB5FEBC}">
  <dimension ref="B2:F22"/>
  <sheetViews>
    <sheetView workbookViewId="0">
      <selection activeCell="C20" sqref="C20"/>
    </sheetView>
  </sheetViews>
  <sheetFormatPr defaultRowHeight="14.4" x14ac:dyDescent="0.3"/>
  <cols>
    <col min="2" max="2" width="23.6640625" customWidth="1"/>
    <col min="3" max="3" width="18.109375" bestFit="1" customWidth="1"/>
    <col min="4" max="4" width="5.5546875" bestFit="1" customWidth="1"/>
    <col min="5" max="5" width="6.109375" bestFit="1" customWidth="1"/>
    <col min="6" max="7" width="10" bestFit="1" customWidth="1"/>
    <col min="8" max="8" width="27.6640625" bestFit="1" customWidth="1"/>
    <col min="9" max="9" width="24" bestFit="1" customWidth="1"/>
    <col min="10" max="10" width="27.6640625" bestFit="1" customWidth="1"/>
    <col min="11" max="11" width="28.5546875" bestFit="1" customWidth="1"/>
    <col min="12" max="12" width="32.21875" bestFit="1" customWidth="1"/>
  </cols>
  <sheetData>
    <row r="2" spans="2:6" x14ac:dyDescent="0.3">
      <c r="B2" s="17" t="s">
        <v>51</v>
      </c>
      <c r="C2" s="17" t="s">
        <v>45</v>
      </c>
    </row>
    <row r="3" spans="2:6" x14ac:dyDescent="0.3">
      <c r="B3" s="17" t="s">
        <v>50</v>
      </c>
      <c r="C3" t="s">
        <v>46</v>
      </c>
      <c r="D3" t="s">
        <v>47</v>
      </c>
      <c r="E3" t="s">
        <v>48</v>
      </c>
      <c r="F3" t="s">
        <v>49</v>
      </c>
    </row>
    <row r="4" spans="2:6" x14ac:dyDescent="0.3">
      <c r="B4" s="18" t="s">
        <v>46</v>
      </c>
      <c r="C4">
        <v>6</v>
      </c>
      <c r="E4">
        <v>11</v>
      </c>
      <c r="F4">
        <v>17</v>
      </c>
    </row>
    <row r="5" spans="2:6" x14ac:dyDescent="0.3">
      <c r="B5" s="18" t="s">
        <v>47</v>
      </c>
      <c r="D5">
        <v>11</v>
      </c>
      <c r="E5">
        <v>2</v>
      </c>
      <c r="F5">
        <v>13</v>
      </c>
    </row>
    <row r="6" spans="2:6" x14ac:dyDescent="0.3">
      <c r="B6" s="18" t="s">
        <v>49</v>
      </c>
      <c r="C6">
        <v>6</v>
      </c>
      <c r="D6">
        <v>11</v>
      </c>
      <c r="E6">
        <v>13</v>
      </c>
      <c r="F6">
        <v>30</v>
      </c>
    </row>
    <row r="8" spans="2:6" x14ac:dyDescent="0.3">
      <c r="B8" s="18" t="s">
        <v>53</v>
      </c>
    </row>
    <row r="9" spans="2:6" x14ac:dyDescent="0.3">
      <c r="B9" s="19"/>
      <c r="C9" s="19" t="s">
        <v>46</v>
      </c>
      <c r="D9" s="19" t="s">
        <v>47</v>
      </c>
      <c r="E9" s="19" t="s">
        <v>48</v>
      </c>
      <c r="F9" s="19"/>
    </row>
    <row r="10" spans="2:6" x14ac:dyDescent="0.3">
      <c r="B10" s="20" t="s">
        <v>46</v>
      </c>
      <c r="C10" s="14">
        <f>C4/C$6</f>
        <v>1</v>
      </c>
      <c r="D10" s="14">
        <f t="shared" ref="D10:F10" si="0">D4/D$6</f>
        <v>0</v>
      </c>
      <c r="E10" s="14">
        <f t="shared" si="0"/>
        <v>0.84615384615384615</v>
      </c>
      <c r="F10" s="14">
        <f t="shared" si="0"/>
        <v>0.56666666666666665</v>
      </c>
    </row>
    <row r="11" spans="2:6" x14ac:dyDescent="0.3">
      <c r="B11" s="20" t="s">
        <v>47</v>
      </c>
      <c r="C11" s="14">
        <f t="shared" ref="C11:F11" si="1">C5/C$6</f>
        <v>0</v>
      </c>
      <c r="D11" s="14">
        <f t="shared" si="1"/>
        <v>1</v>
      </c>
      <c r="E11" s="14">
        <f t="shared" si="1"/>
        <v>0.15384615384615385</v>
      </c>
      <c r="F11" s="14">
        <f t="shared" si="1"/>
        <v>0.43333333333333335</v>
      </c>
    </row>
    <row r="12" spans="2:6" x14ac:dyDescent="0.3">
      <c r="B12" s="21"/>
      <c r="C12" s="14">
        <f t="shared" ref="C12:F12" si="2">C6/C$6</f>
        <v>1</v>
      </c>
      <c r="D12" s="14">
        <f t="shared" si="2"/>
        <v>1</v>
      </c>
      <c r="E12" s="14">
        <f t="shared" si="2"/>
        <v>1</v>
      </c>
      <c r="F12" s="14">
        <f t="shared" si="2"/>
        <v>1</v>
      </c>
    </row>
    <row r="14" spans="2:6" x14ac:dyDescent="0.3">
      <c r="B14" t="s">
        <v>52</v>
      </c>
    </row>
    <row r="15" spans="2:6" x14ac:dyDescent="0.3">
      <c r="B15" s="19"/>
      <c r="C15" s="22" t="s">
        <v>46</v>
      </c>
      <c r="D15" s="22" t="s">
        <v>47</v>
      </c>
      <c r="E15" s="22" t="s">
        <v>48</v>
      </c>
      <c r="F15" s="19"/>
    </row>
    <row r="16" spans="2:6" x14ac:dyDescent="0.3">
      <c r="B16" s="20" t="s">
        <v>46</v>
      </c>
      <c r="C16" s="14">
        <f>C$6*$F10</f>
        <v>3.4</v>
      </c>
      <c r="D16" s="14">
        <f t="shared" ref="D16:E16" si="3">D$6*$F10</f>
        <v>6.2333333333333334</v>
      </c>
      <c r="E16" s="14">
        <f t="shared" si="3"/>
        <v>7.3666666666666663</v>
      </c>
      <c r="F16" s="14">
        <f>SUM(C16:E16)</f>
        <v>17</v>
      </c>
    </row>
    <row r="17" spans="2:6" x14ac:dyDescent="0.3">
      <c r="B17" s="20" t="s">
        <v>47</v>
      </c>
      <c r="C17" s="14">
        <f>C$6*$F11</f>
        <v>2.6</v>
      </c>
      <c r="D17" s="14">
        <f t="shared" ref="D17:E17" si="4">D$6*$F11</f>
        <v>4.7666666666666666</v>
      </c>
      <c r="E17" s="14">
        <f t="shared" si="4"/>
        <v>5.6333333333333337</v>
      </c>
      <c r="F17" s="14">
        <f>SUM(C17:E17)</f>
        <v>13</v>
      </c>
    </row>
    <row r="18" spans="2:6" x14ac:dyDescent="0.3">
      <c r="B18" s="21"/>
      <c r="C18" s="14">
        <f>SUM(C16:C17)</f>
        <v>6</v>
      </c>
      <c r="D18" s="14">
        <f t="shared" ref="D18:E18" si="5">SUM(D16:D17)</f>
        <v>11</v>
      </c>
      <c r="E18" s="14">
        <f t="shared" si="5"/>
        <v>13</v>
      </c>
      <c r="F18" s="14"/>
    </row>
    <row r="20" spans="2:6" x14ac:dyDescent="0.3">
      <c r="B20" t="s">
        <v>54</v>
      </c>
      <c r="C20" cm="1">
        <f t="array" ref="C20">SUM(((C4:E5-C16:E17)^2/C16:E17))</f>
        <v>23.108249216846506</v>
      </c>
    </row>
    <row r="21" spans="2:6" x14ac:dyDescent="0.3">
      <c r="B21" t="s">
        <v>55</v>
      </c>
      <c r="C21" s="31">
        <f>SQRT(C20/(C20+GETPIVOTDATA("Preço",$B$2)))</f>
        <v>0.65963323500172133</v>
      </c>
    </row>
    <row r="22" spans="2:6" x14ac:dyDescent="0.3">
      <c r="B22" t="s">
        <v>56</v>
      </c>
      <c r="C22">
        <f>SQRT(C20/(GETPIVOTDATA("Preço",$B$2)*(2-1)))</f>
        <v>0.87765310567153099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18C5-6F1E-4B2D-8DCA-C6E4EE080EB9}">
  <dimension ref="B1:M10"/>
  <sheetViews>
    <sheetView workbookViewId="0">
      <selection activeCell="K7" sqref="K7:M10"/>
    </sheetView>
  </sheetViews>
  <sheetFormatPr defaultRowHeight="14.4" x14ac:dyDescent="0.3"/>
  <cols>
    <col min="5" max="5" width="11" bestFit="1" customWidth="1"/>
    <col min="6" max="6" width="12.33203125" bestFit="1" customWidth="1"/>
    <col min="13" max="13" width="11" bestFit="1" customWidth="1"/>
  </cols>
  <sheetData>
    <row r="1" spans="2:13" x14ac:dyDescent="0.3">
      <c r="B1" t="s">
        <v>3</v>
      </c>
    </row>
    <row r="2" spans="2:13" x14ac:dyDescent="0.3">
      <c r="C2" s="23" t="s">
        <v>67</v>
      </c>
      <c r="D2" s="23" t="s">
        <v>68</v>
      </c>
      <c r="E2" s="23" t="s">
        <v>69</v>
      </c>
      <c r="F2" s="23" t="s">
        <v>72</v>
      </c>
      <c r="G2" s="23" t="s">
        <v>73</v>
      </c>
      <c r="H2" s="23" t="s">
        <v>74</v>
      </c>
      <c r="I2" s="23" t="s">
        <v>75</v>
      </c>
      <c r="J2" s="23" t="s">
        <v>76</v>
      </c>
      <c r="K2" s="23" t="s">
        <v>77</v>
      </c>
    </row>
    <row r="3" spans="2:13" x14ac:dyDescent="0.3">
      <c r="B3" t="s">
        <v>46</v>
      </c>
      <c r="C3">
        <f>COUNTIF(Veículos!$G$2:$G$31,'Análise 4'!B3)</f>
        <v>17</v>
      </c>
      <c r="D3">
        <f>AVERAGEIF(Veículos!$G$2:$G$31,B3,Veículos!$B$2:$B$31)</f>
        <v>18479.529411764706</v>
      </c>
      <c r="E3" cm="1">
        <f t="array" ref="E3">_xlfn.VAR.S(_xlfn._xlws.FILTER(Tabela1[Preço],Tabela1[MotorQ]='Análise 4'!B3))</f>
        <v>78931925.139705896</v>
      </c>
      <c r="F3">
        <f>SQRT(E3)</f>
        <v>8884.3640818972453</v>
      </c>
      <c r="G3" cm="1">
        <f t="array" ref="G3">_xlfn.QUARTILE.INC(_xlfn._xlws.FILTER(Tabela1[Preço],Tabela1[MotorQ]='Análise 4'!$B3),0)</f>
        <v>10532</v>
      </c>
      <c r="H3" cm="1">
        <f t="array" ref="H3">_xlfn.QUARTILE.INC(_xlfn._xlws.FILTER(Tabela1[Preço],Tabela1[MotorQ]='Análise 4'!B$3),1)</f>
        <v>12018</v>
      </c>
      <c r="I3" cm="1">
        <f t="array" ref="I3">MEDIAN(_xlfn._xlws.FILTER(Tabela1[Preço],Tabela1[MotorQ]='Análise 4'!$B3))</f>
        <v>14460</v>
      </c>
      <c r="J3" cm="1">
        <f t="array" ref="J3">_xlfn.QUARTILE.INC(_xlfn._xlws.FILTER(Tabela1[Preço],Tabela1[MotorQ]='Análise 4'!$B3),3)</f>
        <v>22200</v>
      </c>
      <c r="K3" cm="1">
        <f t="array" ref="K3">_xlfn.QUARTILE.INC(_xlfn._xlws.FILTER(Tabela1[Preço],Tabela1[MotorQ]='Análise 4'!$B3),4)</f>
        <v>38850</v>
      </c>
    </row>
    <row r="4" spans="2:13" x14ac:dyDescent="0.3">
      <c r="B4" t="s">
        <v>47</v>
      </c>
      <c r="C4">
        <f>COUNTIF(Veículos!$G$2:$G$31,'Análise 4'!B4)</f>
        <v>13</v>
      </c>
      <c r="D4">
        <f>AVERAGEIF(Veículos!$G$2:$G$31,B4,Veículos!$B$2:$B$31)</f>
        <v>8040.8461538461543</v>
      </c>
      <c r="E4" cm="1">
        <f t="array" ref="E4">_xlfn.VAR.S(_xlfn._xlws.FILTER(Tabela1[Preço],Tabela1[MotorQ]='Análise 4'!B4))</f>
        <v>8082912.9743589759</v>
      </c>
      <c r="F4">
        <f>SQRT(E4)</f>
        <v>2843.0464249390961</v>
      </c>
      <c r="G4" cm="1">
        <f t="array" ref="G4">_xlfn.QUARTILE.INC(_xlfn._xlws.FILTER(Tabela1[Preço],Tabela1[MotorQ]='Análise 4'!$B4),0)</f>
        <v>5257</v>
      </c>
      <c r="H4" cm="1">
        <f t="array" ref="H4">_xlfn.QUARTILE.INC(_xlfn._xlws.FILTER(Tabela1[Preço],Tabela1[MotorQ]=B4),1)</f>
        <v>6260</v>
      </c>
      <c r="I4" cm="1">
        <f t="array" ref="I4">MEDIAN(_xlfn._xlws.FILTER(Tabela1[Preço],Tabela1[MotorQ]='Análise 4'!$B4))</f>
        <v>6700</v>
      </c>
      <c r="J4" cm="1">
        <f t="array" ref="J4">_xlfn.QUARTILE.INC(_xlfn._xlws.FILTER(Tabela1[Preço],Tabela1[MotorQ]='Análise 4'!$B4),3)</f>
        <v>9300</v>
      </c>
      <c r="K4" cm="1">
        <f t="array" ref="K4">_xlfn.QUARTILE.INC(_xlfn._xlws.FILTER(Tabela1[Preço],Tabela1[MotorQ]='Análise 4'!$B4),4)</f>
        <v>13840</v>
      </c>
    </row>
    <row r="7" spans="2:13" x14ac:dyDescent="0.3">
      <c r="K7" t="s">
        <v>79</v>
      </c>
      <c r="M7">
        <f>(E3*C3+E4*C4)/SUM(C3:C4)</f>
        <v>48230686.534722231</v>
      </c>
    </row>
    <row r="8" spans="2:13" x14ac:dyDescent="0.3">
      <c r="K8" t="s">
        <v>80</v>
      </c>
      <c r="M8">
        <f>'Análise Unidimensional'!C4</f>
        <v>72087425.156666666</v>
      </c>
    </row>
    <row r="10" spans="2:13" x14ac:dyDescent="0.3">
      <c r="K10" t="s">
        <v>78</v>
      </c>
      <c r="M10">
        <f>1-M7/M8</f>
        <v>0.33094174982803026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9CCA-91E3-45F5-BB71-92F2EDE98AB8}">
  <dimension ref="A1:M31"/>
  <sheetViews>
    <sheetView workbookViewId="0">
      <selection activeCell="O20" sqref="O20"/>
    </sheetView>
  </sheetViews>
  <sheetFormatPr defaultRowHeight="14.4" x14ac:dyDescent="0.3"/>
  <cols>
    <col min="1" max="1" width="14.5546875" bestFit="1" customWidth="1"/>
    <col min="2" max="2" width="14.21875" customWidth="1"/>
    <col min="3" max="3" width="11.77734375" customWidth="1"/>
    <col min="4" max="4" width="12.5546875" bestFit="1" customWidth="1"/>
    <col min="5" max="5" width="12.21875" bestFit="1" customWidth="1"/>
    <col min="13" max="13" width="12.6640625" bestFit="1" customWidth="1"/>
  </cols>
  <sheetData>
    <row r="1" spans="1:11" x14ac:dyDescent="0.3">
      <c r="A1" s="7" t="s">
        <v>0</v>
      </c>
      <c r="B1" s="7" t="s">
        <v>58</v>
      </c>
      <c r="C1" s="7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/>
      <c r="J1" s="1" t="s">
        <v>66</v>
      </c>
      <c r="K1" s="1"/>
    </row>
    <row r="2" spans="1:11" x14ac:dyDescent="0.3">
      <c r="A2" s="2" t="s">
        <v>5</v>
      </c>
      <c r="B2" s="8">
        <v>9440</v>
      </c>
      <c r="C2" s="2">
        <v>40</v>
      </c>
      <c r="D2" s="11">
        <f>B2-'Análise Unidimensional'!$C$3</f>
        <v>-4516.1000000000004</v>
      </c>
      <c r="E2" s="11">
        <f>C2-'Análise Unidimensional'!$O$3</f>
        <v>-48.8</v>
      </c>
      <c r="F2">
        <f>D2/'Análise Unidimensional'!$C$5</f>
        <v>-0.5319046575548374</v>
      </c>
      <c r="G2">
        <f>E2/'Análise Unidimensional'!$O$5</f>
        <v>-1.8231984823442791</v>
      </c>
      <c r="H2">
        <f>F2*G2</f>
        <v>0.96976776440583301</v>
      </c>
      <c r="J2">
        <f>D2*E2</f>
        <v>220385.68</v>
      </c>
    </row>
    <row r="3" spans="1:11" x14ac:dyDescent="0.3">
      <c r="A3" s="1" t="s">
        <v>7</v>
      </c>
      <c r="B3" s="6">
        <v>38850</v>
      </c>
      <c r="C3" s="1">
        <v>125</v>
      </c>
      <c r="D3" s="11">
        <f>B3-'Análise Unidimensional'!$C$3</f>
        <v>24893.9</v>
      </c>
      <c r="E3" s="11">
        <f>C3-'Análise Unidimensional'!$O$3</f>
        <v>36.200000000000003</v>
      </c>
      <c r="F3">
        <f>D3/'Análise Unidimensional'!$C$5</f>
        <v>2.9319947199363092</v>
      </c>
      <c r="G3">
        <f>E3/'Análise Unidimensional'!$O$5</f>
        <v>1.3524546119029284</v>
      </c>
      <c r="H3">
        <f t="shared" ref="H3:H31" si="0">F3*G3</f>
        <v>3.9653897810528962</v>
      </c>
      <c r="J3">
        <f t="shared" ref="J3:J31" si="1">D3*E3</f>
        <v>901159.18000000017</v>
      </c>
    </row>
    <row r="4" spans="1:11" x14ac:dyDescent="0.3">
      <c r="A4" s="1" t="s">
        <v>8</v>
      </c>
      <c r="B4" s="6">
        <v>10532</v>
      </c>
      <c r="C4" s="1">
        <v>110</v>
      </c>
      <c r="D4" s="11">
        <f>B4-'Análise Unidimensional'!$C$3</f>
        <v>-3424.1000000000004</v>
      </c>
      <c r="E4" s="11">
        <f>C4-'Análise Unidimensional'!$O$3</f>
        <v>21.200000000000003</v>
      </c>
      <c r="F4">
        <f>D4/'Análise Unidimensional'!$C$5</f>
        <v>-0.40328928454496549</v>
      </c>
      <c r="G4">
        <f>E4/'Análise Unidimensional'!$O$5</f>
        <v>0.79204524232989182</v>
      </c>
      <c r="H4">
        <f t="shared" si="0"/>
        <v>-0.31942335910646591</v>
      </c>
      <c r="J4">
        <f t="shared" si="1"/>
        <v>-72590.920000000013</v>
      </c>
    </row>
    <row r="5" spans="1:11" x14ac:dyDescent="0.3">
      <c r="A5" s="1" t="s">
        <v>10</v>
      </c>
      <c r="B5" s="6">
        <v>16346</v>
      </c>
      <c r="C5" s="1">
        <v>106</v>
      </c>
      <c r="D5" s="11">
        <f>B5-'Análise Unidimensional'!$C$3</f>
        <v>2389.8999999999996</v>
      </c>
      <c r="E5" s="11">
        <f>C5-'Análise Unidimensional'!$O$3</f>
        <v>17.200000000000003</v>
      </c>
      <c r="F5">
        <f>D5/'Análise Unidimensional'!$C$5</f>
        <v>0.28148157505155014</v>
      </c>
      <c r="G5">
        <f>E5/'Análise Unidimensional'!$O$5</f>
        <v>0.64260274377708204</v>
      </c>
      <c r="H5">
        <f t="shared" si="0"/>
        <v>0.18088083245082076</v>
      </c>
      <c r="J5">
        <f t="shared" si="1"/>
        <v>41106.28</v>
      </c>
    </row>
    <row r="6" spans="1:11" x14ac:dyDescent="0.3">
      <c r="A6" s="1" t="s">
        <v>11</v>
      </c>
      <c r="B6" s="6">
        <v>6176</v>
      </c>
      <c r="C6" s="1">
        <v>60</v>
      </c>
      <c r="D6" s="11">
        <f>B6-'Análise Unidimensional'!$C$3</f>
        <v>-7780.1</v>
      </c>
      <c r="E6" s="11">
        <f>C6-'Análise Unidimensional'!$O$3</f>
        <v>-28.799999999999997</v>
      </c>
      <c r="F6">
        <f>D6/'Análise Unidimensional'!$C$5</f>
        <v>-0.91633742083709169</v>
      </c>
      <c r="G6">
        <f>E6/'Análise Unidimensional'!$O$5</f>
        <v>-1.0759859895802302</v>
      </c>
      <c r="H6">
        <f t="shared" si="0"/>
        <v>0.98596622654879396</v>
      </c>
      <c r="J6">
        <f t="shared" si="1"/>
        <v>224066.87999999998</v>
      </c>
    </row>
    <row r="7" spans="1:11" x14ac:dyDescent="0.3">
      <c r="A7" s="1" t="s">
        <v>12</v>
      </c>
      <c r="B7" s="6">
        <v>12890</v>
      </c>
      <c r="C7" s="1">
        <v>100</v>
      </c>
      <c r="D7" s="11">
        <f>B7-'Análise Unidimensional'!$C$3</f>
        <v>-1066.1000000000004</v>
      </c>
      <c r="E7" s="11">
        <f>C7-'Análise Unidimensional'!$O$3</f>
        <v>11.200000000000003</v>
      </c>
      <c r="F7">
        <f>D7/'Análise Unidimensional'!$C$5</f>
        <v>-0.12556488018848391</v>
      </c>
      <c r="G7">
        <f>E7/'Análise Unidimensional'!$O$5</f>
        <v>0.41843899594786743</v>
      </c>
      <c r="H7">
        <f t="shared" si="0"/>
        <v>-5.2541242392383482E-2</v>
      </c>
      <c r="J7">
        <f t="shared" si="1"/>
        <v>-11940.320000000007</v>
      </c>
    </row>
    <row r="8" spans="1:11" x14ac:dyDescent="0.3">
      <c r="A8" s="1" t="s">
        <v>13</v>
      </c>
      <c r="B8" s="6">
        <v>13140</v>
      </c>
      <c r="C8" s="1">
        <v>110</v>
      </c>
      <c r="D8" s="11">
        <f>B8-'Análise Unidimensional'!$C$3</f>
        <v>-816.10000000000036</v>
      </c>
      <c r="E8" s="11">
        <f>C8-'Análise Unidimensional'!$O$3</f>
        <v>21.200000000000003</v>
      </c>
      <c r="F8">
        <f>D8/'Análise Unidimensional'!$C$5</f>
        <v>-9.6119968785124979E-2</v>
      </c>
      <c r="G8">
        <f>E8/'Análise Unidimensional'!$O$5</f>
        <v>0.79204524232989182</v>
      </c>
      <c r="H8">
        <f t="shared" si="0"/>
        <v>-7.6131363969155957E-2</v>
      </c>
      <c r="J8">
        <f t="shared" si="1"/>
        <v>-17301.320000000011</v>
      </c>
    </row>
    <row r="9" spans="1:11" x14ac:dyDescent="0.3">
      <c r="A9" s="1" t="s">
        <v>14</v>
      </c>
      <c r="B9" s="6">
        <v>31640</v>
      </c>
      <c r="C9" s="1">
        <v>115</v>
      </c>
      <c r="D9" s="11">
        <f>B9-'Análise Unidimensional'!$C$3</f>
        <v>17683.900000000001</v>
      </c>
      <c r="E9" s="11">
        <f>C9-'Análise Unidimensional'!$O$3</f>
        <v>26.200000000000003</v>
      </c>
      <c r="F9">
        <f>D9/'Análise Unidimensional'!$C$5</f>
        <v>2.0828034750634372</v>
      </c>
      <c r="G9">
        <f>E9/'Análise Unidimensional'!$O$5</f>
        <v>0.97884836552090404</v>
      </c>
      <c r="H9">
        <f t="shared" si="0"/>
        <v>2.0387487772671045</v>
      </c>
      <c r="J9">
        <f t="shared" si="1"/>
        <v>463318.18000000011</v>
      </c>
    </row>
    <row r="10" spans="1:11" x14ac:dyDescent="0.3">
      <c r="A10" s="1" t="s">
        <v>15</v>
      </c>
      <c r="B10" s="6">
        <v>11630</v>
      </c>
      <c r="C10" s="1">
        <v>121</v>
      </c>
      <c r="D10" s="11">
        <f>B10-'Análise Unidimensional'!$C$3</f>
        <v>-2326.1000000000004</v>
      </c>
      <c r="E10" s="11">
        <f>C10-'Análise Unidimensional'!$O$3</f>
        <v>32.200000000000003</v>
      </c>
      <c r="F10">
        <f>D10/'Análise Unidimensional'!$C$5</f>
        <v>-0.27396723366141301</v>
      </c>
      <c r="G10">
        <f>E10/'Análise Unidimensional'!$O$5</f>
        <v>1.2030121133501186</v>
      </c>
      <c r="H10">
        <f t="shared" si="0"/>
        <v>-0.32958590075570221</v>
      </c>
      <c r="J10">
        <f t="shared" si="1"/>
        <v>-74900.420000000013</v>
      </c>
    </row>
    <row r="11" spans="1:11" x14ac:dyDescent="0.3">
      <c r="A11" s="1" t="s">
        <v>16</v>
      </c>
      <c r="B11" s="6">
        <v>6700</v>
      </c>
      <c r="C11" s="1">
        <v>76</v>
      </c>
      <c r="D11" s="11">
        <f>B11-'Análise Unidimensional'!$C$3</f>
        <v>-7256.1</v>
      </c>
      <c r="E11" s="11">
        <f>C11-'Análise Unidimensional'!$O$3</f>
        <v>-12.799999999999997</v>
      </c>
      <c r="F11">
        <f>D11/'Análise Unidimensional'!$C$5</f>
        <v>-0.85462088653565138</v>
      </c>
      <c r="G11">
        <f>E11/'Análise Unidimensional'!$O$5</f>
        <v>-0.47821599536899112</v>
      </c>
      <c r="H11">
        <f t="shared" si="0"/>
        <v>0.40869337791777616</v>
      </c>
      <c r="J11">
        <f t="shared" si="1"/>
        <v>92878.079999999987</v>
      </c>
    </row>
    <row r="12" spans="1:11" x14ac:dyDescent="0.3">
      <c r="A12" s="1" t="s">
        <v>17</v>
      </c>
      <c r="B12" s="6">
        <v>12923</v>
      </c>
      <c r="C12" s="1">
        <v>127</v>
      </c>
      <c r="D12" s="11">
        <f>B12-'Análise Unidimensional'!$C$3</f>
        <v>-1033.1000000000004</v>
      </c>
      <c r="E12" s="11">
        <f>C12-'Análise Unidimensional'!$O$3</f>
        <v>38.200000000000003</v>
      </c>
      <c r="F12">
        <f>D12/'Análise Unidimensional'!$C$5</f>
        <v>-0.12167815188324055</v>
      </c>
      <c r="G12">
        <f>E12/'Análise Unidimensional'!$O$5</f>
        <v>1.4271758611793333</v>
      </c>
      <c r="H12">
        <f t="shared" si="0"/>
        <v>-0.17365612120067353</v>
      </c>
      <c r="J12">
        <f t="shared" si="1"/>
        <v>-39464.42000000002</v>
      </c>
    </row>
    <row r="13" spans="1:11" x14ac:dyDescent="0.3">
      <c r="A13" s="1" t="s">
        <v>18</v>
      </c>
      <c r="B13" s="6">
        <v>5257</v>
      </c>
      <c r="C13" s="1">
        <v>57</v>
      </c>
      <c r="D13" s="11">
        <f>B13-'Análise Unidimensional'!$C$3</f>
        <v>-8699.1</v>
      </c>
      <c r="E13" s="11">
        <f>C13-'Análise Unidimensional'!$O$3</f>
        <v>-31.799999999999997</v>
      </c>
      <c r="F13">
        <f>D13/'Análise Unidimensional'!$C$5</f>
        <v>-1.0245769151558393</v>
      </c>
      <c r="G13">
        <f>E13/'Análise Unidimensional'!$O$5</f>
        <v>-1.1880678634948374</v>
      </c>
      <c r="H13">
        <f t="shared" si="0"/>
        <v>1.2172669065753292</v>
      </c>
      <c r="J13">
        <f t="shared" si="1"/>
        <v>276631.38</v>
      </c>
    </row>
    <row r="14" spans="1:11" x14ac:dyDescent="0.3">
      <c r="A14" s="1" t="s">
        <v>19</v>
      </c>
      <c r="B14" s="6">
        <v>6260</v>
      </c>
      <c r="C14" s="1">
        <v>61</v>
      </c>
      <c r="D14" s="11">
        <f>B14-'Análise Unidimensional'!$C$3</f>
        <v>-7696.1</v>
      </c>
      <c r="E14" s="11">
        <f>C14-'Análise Unidimensional'!$O$3</f>
        <v>-27.799999999999997</v>
      </c>
      <c r="F14">
        <f>D14/'Análise Unidimensional'!$C$5</f>
        <v>-0.90644393060556316</v>
      </c>
      <c r="G14">
        <f>E14/'Análise Unidimensional'!$O$5</f>
        <v>-1.0386253649420278</v>
      </c>
      <c r="H14">
        <f t="shared" si="0"/>
        <v>0.94145565822468924</v>
      </c>
      <c r="J14">
        <f t="shared" si="1"/>
        <v>213951.58</v>
      </c>
    </row>
    <row r="15" spans="1:11" x14ac:dyDescent="0.3">
      <c r="A15" s="1" t="s">
        <v>20</v>
      </c>
      <c r="B15" s="6">
        <v>7780</v>
      </c>
      <c r="C15" s="1">
        <v>61</v>
      </c>
      <c r="D15" s="11">
        <f>B15-'Análise Unidimensional'!$C$3</f>
        <v>-6176.1</v>
      </c>
      <c r="E15" s="11">
        <f>C15-'Análise Unidimensional'!$O$3</f>
        <v>-27.799999999999997</v>
      </c>
      <c r="F15">
        <f>D15/'Análise Unidimensional'!$C$5</f>
        <v>-0.7274188692731407</v>
      </c>
      <c r="G15">
        <f>E15/'Análise Unidimensional'!$O$5</f>
        <v>-1.0386253649420278</v>
      </c>
      <c r="H15">
        <f t="shared" si="0"/>
        <v>0.75551568856453299</v>
      </c>
      <c r="J15">
        <f t="shared" si="1"/>
        <v>171695.58</v>
      </c>
    </row>
    <row r="16" spans="1:11" x14ac:dyDescent="0.3">
      <c r="A16" s="1" t="s">
        <v>21</v>
      </c>
      <c r="B16" s="6">
        <v>10767</v>
      </c>
      <c r="C16" s="1">
        <v>115</v>
      </c>
      <c r="D16" s="11">
        <f>B16-'Análise Unidimensional'!$C$3</f>
        <v>-3189.1000000000004</v>
      </c>
      <c r="E16" s="11">
        <f>C16-'Análise Unidimensional'!$O$3</f>
        <v>26.200000000000003</v>
      </c>
      <c r="F16">
        <f>D16/'Análise Unidimensional'!$C$5</f>
        <v>-0.37561106782580805</v>
      </c>
      <c r="G16">
        <f>E16/'Análise Unidimensional'!$O$5</f>
        <v>0.97884836552090404</v>
      </c>
      <c r="H16">
        <f t="shared" si="0"/>
        <v>-0.36766627981285366</v>
      </c>
      <c r="J16">
        <f t="shared" si="1"/>
        <v>-83554.420000000013</v>
      </c>
    </row>
    <row r="17" spans="1:13" x14ac:dyDescent="0.3">
      <c r="A17" s="1" t="s">
        <v>22</v>
      </c>
      <c r="B17" s="6">
        <v>6316</v>
      </c>
      <c r="C17" s="1">
        <v>52</v>
      </c>
      <c r="D17" s="11">
        <f>B17-'Análise Unidimensional'!$C$3</f>
        <v>-7640.1</v>
      </c>
      <c r="E17" s="11">
        <f>C17-'Análise Unidimensional'!$O$3</f>
        <v>-36.799999999999997</v>
      </c>
      <c r="F17">
        <f>D17/'Análise Unidimensional'!$C$5</f>
        <v>-0.89984827045121074</v>
      </c>
      <c r="G17">
        <f>E17/'Análise Unidimensional'!$O$5</f>
        <v>-1.3748709866858497</v>
      </c>
      <c r="H17">
        <f t="shared" si="0"/>
        <v>1.2371752794628115</v>
      </c>
      <c r="J17">
        <f t="shared" si="1"/>
        <v>281155.68</v>
      </c>
    </row>
    <row r="18" spans="1:13" x14ac:dyDescent="0.3">
      <c r="A18" s="1" t="s">
        <v>23</v>
      </c>
      <c r="B18" s="6">
        <v>5680</v>
      </c>
      <c r="C18" s="1">
        <v>54</v>
      </c>
      <c r="D18" s="11">
        <f>B18-'Análise Unidimensional'!$C$3</f>
        <v>-8276.1</v>
      </c>
      <c r="E18" s="11">
        <f>C18-'Análise Unidimensional'!$O$3</f>
        <v>-34.799999999999997</v>
      </c>
      <c r="F18">
        <f>D18/'Análise Unidimensional'!$C$5</f>
        <v>-0.97475612506135589</v>
      </c>
      <c r="G18">
        <f>E18/'Análise Unidimensional'!$O$5</f>
        <v>-1.3001497374094448</v>
      </c>
      <c r="H18">
        <f t="shared" si="0"/>
        <v>1.2673289200367699</v>
      </c>
      <c r="J18">
        <f t="shared" si="1"/>
        <v>288008.27999999997</v>
      </c>
      <c r="L18" t="s">
        <v>57</v>
      </c>
      <c r="M18">
        <f>AVERAGE(H2:H31)</f>
        <v>0.62267016966919686</v>
      </c>
    </row>
    <row r="19" spans="1:13" x14ac:dyDescent="0.3">
      <c r="A19" s="1" t="s">
        <v>24</v>
      </c>
      <c r="B19" s="6">
        <v>33718</v>
      </c>
      <c r="C19" s="1">
        <v>130</v>
      </c>
      <c r="D19" s="11">
        <f>B19-'Análise Unidimensional'!$C$3</f>
        <v>19761.900000000001</v>
      </c>
      <c r="E19" s="11">
        <f>C19-'Análise Unidimensional'!$O$3</f>
        <v>41.2</v>
      </c>
      <c r="F19">
        <f>D19/'Análise Unidimensional'!$C$5</f>
        <v>2.3275495786481568</v>
      </c>
      <c r="G19">
        <f>E19/'Análise Unidimensional'!$O$5</f>
        <v>1.5392577350939407</v>
      </c>
      <c r="H19">
        <f t="shared" si="0"/>
        <v>3.582698692748818</v>
      </c>
      <c r="J19">
        <f t="shared" si="1"/>
        <v>814190.28000000014</v>
      </c>
      <c r="L19" t="s">
        <v>65</v>
      </c>
      <c r="M19">
        <f>AVERAGE(J2:J31)</f>
        <v>141505.62000000005</v>
      </c>
    </row>
    <row r="20" spans="1:13" x14ac:dyDescent="0.3">
      <c r="A20" s="1" t="s">
        <v>25</v>
      </c>
      <c r="B20" s="6">
        <v>14460</v>
      </c>
      <c r="C20" s="1">
        <v>106</v>
      </c>
      <c r="D20" s="11">
        <f>B20-'Análise Unidimensional'!$C$3</f>
        <v>503.89999999999964</v>
      </c>
      <c r="E20" s="11">
        <f>C20-'Análise Unidimensional'!$O$3</f>
        <v>17.200000000000003</v>
      </c>
      <c r="F20">
        <f>D20/'Análise Unidimensional'!$C$5</f>
        <v>5.9349163424610246E-2</v>
      </c>
      <c r="G20">
        <f>E20/'Análise Unidimensional'!$O$5</f>
        <v>0.64260274377708204</v>
      </c>
      <c r="H20">
        <f t="shared" si="0"/>
        <v>3.8137935257528989E-2</v>
      </c>
      <c r="J20">
        <f t="shared" si="1"/>
        <v>8667.0799999999945</v>
      </c>
    </row>
    <row r="21" spans="1:13" x14ac:dyDescent="0.3">
      <c r="A21" s="1" t="s">
        <v>26</v>
      </c>
      <c r="B21" s="6">
        <v>21500</v>
      </c>
      <c r="C21" s="1">
        <v>91</v>
      </c>
      <c r="D21" s="11">
        <f>B21-'Análise Unidimensional'!$C$3</f>
        <v>7543.9</v>
      </c>
      <c r="E21" s="11">
        <f>C21-'Análise Unidimensional'!$O$3</f>
        <v>2.2000000000000028</v>
      </c>
      <c r="F21">
        <f>D21/'Análise Unidimensional'!$C$5</f>
        <v>0.88851786854319814</v>
      </c>
      <c r="G21">
        <f>E21/'Análise Unidimensional'!$O$5</f>
        <v>8.2193374204045475E-2</v>
      </c>
      <c r="H21">
        <f t="shared" si="0"/>
        <v>7.3030281656151969E-2</v>
      </c>
      <c r="J21">
        <f t="shared" si="1"/>
        <v>16596.58000000002</v>
      </c>
    </row>
    <row r="22" spans="1:13" x14ac:dyDescent="0.3">
      <c r="A22" s="1" t="s">
        <v>27</v>
      </c>
      <c r="B22" s="6">
        <v>13840</v>
      </c>
      <c r="C22" s="1">
        <v>50</v>
      </c>
      <c r="D22" s="11">
        <f>B22-'Análise Unidimensional'!$C$3</f>
        <v>-116.10000000000036</v>
      </c>
      <c r="E22" s="11">
        <f>C22-'Análise Unidimensional'!$O$3</f>
        <v>-38.799999999999997</v>
      </c>
      <c r="F22">
        <f>D22/'Análise Unidimensional'!$C$5</f>
        <v>-1.3674216855719937E-2</v>
      </c>
      <c r="G22">
        <f>E22/'Análise Unidimensional'!$O$5</f>
        <v>-1.4495922359622546</v>
      </c>
      <c r="H22">
        <f t="shared" si="0"/>
        <v>1.9822038586915815E-2</v>
      </c>
      <c r="J22">
        <f t="shared" si="1"/>
        <v>4504.6800000000139</v>
      </c>
    </row>
    <row r="23" spans="1:13" x14ac:dyDescent="0.3">
      <c r="A23" s="1" t="s">
        <v>28</v>
      </c>
      <c r="B23" s="6">
        <v>13700</v>
      </c>
      <c r="C23" s="1">
        <v>74</v>
      </c>
      <c r="D23" s="11">
        <f>B23-'Análise Unidimensional'!$C$3</f>
        <v>-256.10000000000036</v>
      </c>
      <c r="E23" s="11">
        <f>C23-'Análise Unidimensional'!$O$3</f>
        <v>-14.799999999999997</v>
      </c>
      <c r="F23">
        <f>D23/'Análise Unidimensional'!$C$5</f>
        <v>-3.0163367241600944E-2</v>
      </c>
      <c r="G23">
        <f>E23/'Análise Unidimensional'!$O$5</f>
        <v>-0.55293724464539595</v>
      </c>
      <c r="H23">
        <f t="shared" si="0"/>
        <v>1.6678449171798022E-2</v>
      </c>
      <c r="J23">
        <f t="shared" si="1"/>
        <v>3790.2800000000047</v>
      </c>
    </row>
    <row r="24" spans="1:13" x14ac:dyDescent="0.3">
      <c r="A24" s="1" t="s">
        <v>29</v>
      </c>
      <c r="B24" s="6">
        <v>15520</v>
      </c>
      <c r="C24" s="1">
        <v>116</v>
      </c>
      <c r="D24" s="11">
        <f>B24-'Análise Unidimensional'!$C$3</f>
        <v>1563.8999999999996</v>
      </c>
      <c r="E24" s="11">
        <f>C24-'Análise Unidimensional'!$O$3</f>
        <v>27.200000000000003</v>
      </c>
      <c r="F24">
        <f>D24/'Análise Unidimensional'!$C$5</f>
        <v>0.18419558777485218</v>
      </c>
      <c r="G24">
        <f>E24/'Análise Unidimensional'!$O$5</f>
        <v>1.0162089901591065</v>
      </c>
      <c r="H24">
        <f t="shared" si="0"/>
        <v>0.18718121224444559</v>
      </c>
      <c r="J24">
        <f t="shared" si="1"/>
        <v>42538.079999999994</v>
      </c>
    </row>
    <row r="25" spans="1:13" x14ac:dyDescent="0.3">
      <c r="A25" s="1" t="s">
        <v>30</v>
      </c>
      <c r="B25" s="6">
        <v>24632</v>
      </c>
      <c r="C25" s="1">
        <v>96</v>
      </c>
      <c r="D25" s="11">
        <f>B25-'Análise Unidimensional'!$C$3</f>
        <v>10675.9</v>
      </c>
      <c r="E25" s="11">
        <f>C25-'Análise Unidimensional'!$O$3</f>
        <v>7.2000000000000028</v>
      </c>
      <c r="F25">
        <f>D25/'Análise Unidimensional'!$C$5</f>
        <v>1.2574037186044791</v>
      </c>
      <c r="G25">
        <f>E25/'Análise Unidimensional'!$O$5</f>
        <v>0.26899649739505765</v>
      </c>
      <c r="H25">
        <f t="shared" si="0"/>
        <v>0.33823719611612557</v>
      </c>
      <c r="J25">
        <f t="shared" si="1"/>
        <v>76866.480000000025</v>
      </c>
    </row>
    <row r="26" spans="1:13" x14ac:dyDescent="0.3">
      <c r="A26" s="1" t="s">
        <v>31</v>
      </c>
      <c r="B26" s="6">
        <v>6340</v>
      </c>
      <c r="C26" s="1">
        <v>54</v>
      </c>
      <c r="D26" s="11">
        <f>B26-'Análise Unidimensional'!$C$3</f>
        <v>-7616.1</v>
      </c>
      <c r="E26" s="11">
        <f>C26-'Análise Unidimensional'!$O$3</f>
        <v>-34.799999999999997</v>
      </c>
      <c r="F26">
        <f>D26/'Análise Unidimensional'!$C$5</f>
        <v>-0.89702155895648827</v>
      </c>
      <c r="G26">
        <f>E26/'Análise Unidimensional'!$O$5</f>
        <v>-1.3001497374094448</v>
      </c>
      <c r="H26">
        <f t="shared" si="0"/>
        <v>1.166262344327889</v>
      </c>
      <c r="J26">
        <f t="shared" si="1"/>
        <v>265040.27999999997</v>
      </c>
    </row>
    <row r="27" spans="1:13" x14ac:dyDescent="0.3">
      <c r="A27" s="1" t="s">
        <v>32</v>
      </c>
      <c r="B27" s="6">
        <v>22200</v>
      </c>
      <c r="C27" s="1">
        <v>100</v>
      </c>
      <c r="D27" s="11">
        <f>B27-'Análise Unidimensional'!$C$3</f>
        <v>8243.9</v>
      </c>
      <c r="E27" s="11">
        <f>C27-'Análise Unidimensional'!$O$3</f>
        <v>11.200000000000003</v>
      </c>
      <c r="F27">
        <f>D27/'Análise Unidimensional'!$C$5</f>
        <v>0.97096362047260321</v>
      </c>
      <c r="G27">
        <f>E27/'Análise Unidimensional'!$O$5</f>
        <v>0.41843899594786743</v>
      </c>
      <c r="H27">
        <f t="shared" si="0"/>
        <v>0.40628904245246228</v>
      </c>
      <c r="J27">
        <f t="shared" si="1"/>
        <v>92331.680000000022</v>
      </c>
    </row>
    <row r="28" spans="1:13" x14ac:dyDescent="0.3">
      <c r="A28" s="1" t="s">
        <v>33</v>
      </c>
      <c r="B28" s="6">
        <v>9300</v>
      </c>
      <c r="C28" s="1">
        <v>69</v>
      </c>
      <c r="D28" s="11">
        <f>B28-'Análise Unidimensional'!$C$3</f>
        <v>-4656.1000000000004</v>
      </c>
      <c r="E28" s="11">
        <f>C28-'Análise Unidimensional'!$O$3</f>
        <v>-19.799999999999997</v>
      </c>
      <c r="F28">
        <f>D28/'Análise Unidimensional'!$C$5</f>
        <v>-0.54839380794071835</v>
      </c>
      <c r="G28">
        <f>E28/'Análise Unidimensional'!$O$5</f>
        <v>-0.73974036783640817</v>
      </c>
      <c r="H28">
        <f t="shared" si="0"/>
        <v>0.40566903720527558</v>
      </c>
      <c r="J28">
        <f t="shared" si="1"/>
        <v>92190.78</v>
      </c>
    </row>
    <row r="29" spans="1:13" x14ac:dyDescent="0.3">
      <c r="A29" s="1" t="s">
        <v>34</v>
      </c>
      <c r="B29" s="6">
        <v>12018</v>
      </c>
      <c r="C29" s="1">
        <v>99</v>
      </c>
      <c r="D29" s="11">
        <f>B29-'Análise Unidimensional'!$C$3</f>
        <v>-1938.1000000000004</v>
      </c>
      <c r="E29" s="11">
        <f>C29-'Análise Unidimensional'!$O$3</f>
        <v>10.200000000000003</v>
      </c>
      <c r="F29">
        <f>D29/'Análise Unidimensional'!$C$5</f>
        <v>-0.22826873116339993</v>
      </c>
      <c r="G29">
        <f>E29/'Análise Unidimensional'!$O$5</f>
        <v>0.38107837130966499</v>
      </c>
      <c r="H29">
        <f t="shared" si="0"/>
        <v>-8.6988276292672209E-2</v>
      </c>
      <c r="J29">
        <f t="shared" si="1"/>
        <v>-19768.62000000001</v>
      </c>
    </row>
    <row r="30" spans="1:13" x14ac:dyDescent="0.3">
      <c r="A30" s="1" t="s">
        <v>35</v>
      </c>
      <c r="B30" s="6">
        <v>11386</v>
      </c>
      <c r="C30" s="1">
        <v>101</v>
      </c>
      <c r="D30" s="11">
        <f>B30-'Análise Unidimensional'!$C$3</f>
        <v>-2570.1000000000004</v>
      </c>
      <c r="E30" s="11">
        <f>C30-'Análise Unidimensional'!$O$3</f>
        <v>12.200000000000003</v>
      </c>
      <c r="F30">
        <f>D30/'Análise Unidimensional'!$C$5</f>
        <v>-0.30270546719109132</v>
      </c>
      <c r="G30">
        <f>E30/'Análise Unidimensional'!$O$5</f>
        <v>0.45579962058606988</v>
      </c>
      <c r="H30">
        <f t="shared" si="0"/>
        <v>-0.13797303709502845</v>
      </c>
      <c r="J30">
        <f t="shared" si="1"/>
        <v>-31355.220000000012</v>
      </c>
    </row>
    <row r="31" spans="1:13" x14ac:dyDescent="0.3">
      <c r="A31" s="3" t="s">
        <v>36</v>
      </c>
      <c r="B31" s="9">
        <v>7742</v>
      </c>
      <c r="C31" s="3">
        <v>88</v>
      </c>
      <c r="D31" s="11">
        <f>B31-'Análise Unidimensional'!$C$3</f>
        <v>-6214.1</v>
      </c>
      <c r="E31" s="11">
        <f>C31-'Análise Unidimensional'!$O$3</f>
        <v>-0.79999999999999716</v>
      </c>
      <c r="F31">
        <f>D31/'Análise Unidimensional'!$C$5</f>
        <v>-0.73189449580645127</v>
      </c>
      <c r="G31">
        <f>E31/'Análise Unidimensional'!$O$5</f>
        <v>-2.9888499710561844E-2</v>
      </c>
      <c r="H31">
        <f t="shared" si="0"/>
        <v>2.1875228426072927E-2</v>
      </c>
      <c r="J31">
        <f t="shared" si="1"/>
        <v>4971.2799999999825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5BFD-AA51-4653-AE9C-F1CDD29BB2E0}">
  <dimension ref="B2:F22"/>
  <sheetViews>
    <sheetView tabSelected="1" workbookViewId="0">
      <selection activeCell="C21" sqref="C21"/>
    </sheetView>
  </sheetViews>
  <sheetFormatPr defaultRowHeight="14.4" x14ac:dyDescent="0.3"/>
  <cols>
    <col min="2" max="2" width="17.21875" bestFit="1" customWidth="1"/>
    <col min="3" max="3" width="18.109375" bestFit="1" customWidth="1"/>
    <col min="4" max="4" width="5.5546875" bestFit="1" customWidth="1"/>
    <col min="5" max="5" width="6.109375" bestFit="1" customWidth="1"/>
    <col min="6" max="6" width="10" bestFit="1" customWidth="1"/>
  </cols>
  <sheetData>
    <row r="2" spans="2:6" x14ac:dyDescent="0.3">
      <c r="B2" s="17" t="s">
        <v>51</v>
      </c>
      <c r="C2" s="17" t="s">
        <v>45</v>
      </c>
    </row>
    <row r="3" spans="2:6" x14ac:dyDescent="0.3">
      <c r="B3" s="17" t="s">
        <v>50</v>
      </c>
      <c r="C3" t="s">
        <v>46</v>
      </c>
      <c r="D3" t="s">
        <v>47</v>
      </c>
      <c r="E3" t="s">
        <v>48</v>
      </c>
      <c r="F3" t="s">
        <v>49</v>
      </c>
    </row>
    <row r="4" spans="2:6" x14ac:dyDescent="0.3">
      <c r="B4" s="18" t="s">
        <v>6</v>
      </c>
      <c r="C4">
        <v>5</v>
      </c>
      <c r="D4">
        <v>2</v>
      </c>
      <c r="E4">
        <v>5</v>
      </c>
      <c r="F4">
        <v>12</v>
      </c>
    </row>
    <row r="5" spans="2:6" x14ac:dyDescent="0.3">
      <c r="B5" s="18" t="s">
        <v>9</v>
      </c>
      <c r="C5">
        <v>1</v>
      </c>
      <c r="D5">
        <v>9</v>
      </c>
      <c r="E5">
        <v>8</v>
      </c>
      <c r="F5">
        <v>18</v>
      </c>
    </row>
    <row r="6" spans="2:6" x14ac:dyDescent="0.3">
      <c r="B6" s="18" t="s">
        <v>49</v>
      </c>
      <c r="C6">
        <v>6</v>
      </c>
      <c r="D6">
        <v>11</v>
      </c>
      <c r="E6">
        <v>13</v>
      </c>
      <c r="F6">
        <v>30</v>
      </c>
    </row>
    <row r="8" spans="2:6" x14ac:dyDescent="0.3">
      <c r="B8" s="18" t="s">
        <v>53</v>
      </c>
    </row>
    <row r="9" spans="2:6" x14ac:dyDescent="0.3">
      <c r="B9" s="19"/>
      <c r="C9" s="19" t="s">
        <v>46</v>
      </c>
      <c r="D9" s="19" t="s">
        <v>47</v>
      </c>
      <c r="E9" s="19" t="s">
        <v>48</v>
      </c>
      <c r="F9" s="19"/>
    </row>
    <row r="10" spans="2:6" x14ac:dyDescent="0.3">
      <c r="B10" s="20" t="s">
        <v>46</v>
      </c>
      <c r="C10" s="14">
        <f>C4/C$6</f>
        <v>0.83333333333333337</v>
      </c>
      <c r="D10" s="14">
        <f t="shared" ref="D10:E10" si="0">D4/D$6</f>
        <v>0.18181818181818182</v>
      </c>
      <c r="E10" s="14">
        <f t="shared" si="0"/>
        <v>0.38461538461538464</v>
      </c>
      <c r="F10" s="14">
        <f>F4/F$6</f>
        <v>0.4</v>
      </c>
    </row>
    <row r="11" spans="2:6" x14ac:dyDescent="0.3">
      <c r="B11" s="20" t="s">
        <v>47</v>
      </c>
      <c r="C11" s="14">
        <f t="shared" ref="C11:F12" si="1">C5/C$6</f>
        <v>0.16666666666666666</v>
      </c>
      <c r="D11" s="14">
        <f t="shared" si="1"/>
        <v>0.81818181818181823</v>
      </c>
      <c r="E11" s="14">
        <f t="shared" si="1"/>
        <v>0.61538461538461542</v>
      </c>
      <c r="F11" s="14">
        <f t="shared" si="1"/>
        <v>0.6</v>
      </c>
    </row>
    <row r="12" spans="2:6" x14ac:dyDescent="0.3">
      <c r="B12" s="21"/>
      <c r="C12" s="14">
        <f t="shared" si="1"/>
        <v>1</v>
      </c>
      <c r="D12" s="14">
        <f t="shared" si="1"/>
        <v>1</v>
      </c>
      <c r="E12" s="14">
        <f>E6/E$6</f>
        <v>1</v>
      </c>
      <c r="F12" s="14">
        <f t="shared" si="1"/>
        <v>1</v>
      </c>
    </row>
    <row r="14" spans="2:6" x14ac:dyDescent="0.3">
      <c r="B14" t="s">
        <v>52</v>
      </c>
    </row>
    <row r="15" spans="2:6" x14ac:dyDescent="0.3">
      <c r="B15" s="19"/>
      <c r="C15" s="22" t="s">
        <v>46</v>
      </c>
      <c r="D15" s="22" t="s">
        <v>47</v>
      </c>
      <c r="E15" s="22" t="s">
        <v>48</v>
      </c>
      <c r="F15" s="19"/>
    </row>
    <row r="16" spans="2:6" x14ac:dyDescent="0.3">
      <c r="B16" s="20" t="s">
        <v>46</v>
      </c>
      <c r="C16" s="14">
        <f>C$6*$F10</f>
        <v>2.4000000000000004</v>
      </c>
      <c r="D16" s="14">
        <f t="shared" ref="D16:E17" si="2">D$6*$F10</f>
        <v>4.4000000000000004</v>
      </c>
      <c r="E16" s="14">
        <f t="shared" si="2"/>
        <v>5.2</v>
      </c>
      <c r="F16" s="14">
        <f>SUM(C16:E16)</f>
        <v>12</v>
      </c>
    </row>
    <row r="17" spans="2:6" x14ac:dyDescent="0.3">
      <c r="B17" s="20" t="s">
        <v>47</v>
      </c>
      <c r="C17" s="14">
        <f>C$6*$F11</f>
        <v>3.5999999999999996</v>
      </c>
      <c r="D17" s="14">
        <f t="shared" si="2"/>
        <v>6.6</v>
      </c>
      <c r="E17" s="14">
        <f t="shared" si="2"/>
        <v>7.8</v>
      </c>
      <c r="F17" s="14">
        <f>SUM(C17:E17)</f>
        <v>18</v>
      </c>
    </row>
    <row r="18" spans="2:6" x14ac:dyDescent="0.3">
      <c r="B18" s="21"/>
      <c r="C18" s="14">
        <f>SUM(C16:C17)</f>
        <v>6</v>
      </c>
      <c r="D18" s="14">
        <f t="shared" ref="D18:E18" si="3">SUM(D16:D17)</f>
        <v>11</v>
      </c>
      <c r="E18" s="14">
        <f t="shared" si="3"/>
        <v>13</v>
      </c>
      <c r="F18" s="14"/>
    </row>
    <row r="20" spans="2:6" x14ac:dyDescent="0.3">
      <c r="B20" t="s">
        <v>54</v>
      </c>
      <c r="C20" cm="1">
        <f t="array" ref="C20">SUM(((C4:E5-C16:E17)^2/C16:E17))</f>
        <v>6.8890831390831382</v>
      </c>
    </row>
    <row r="21" spans="2:6" x14ac:dyDescent="0.3">
      <c r="B21" t="s">
        <v>55</v>
      </c>
      <c r="C21" s="35">
        <f>SQRT(C20/(C20+GETPIVOTDATA("Preço",$B$2)))</f>
        <v>0.43214727856603252</v>
      </c>
    </row>
    <row r="22" spans="2:6" x14ac:dyDescent="0.3">
      <c r="B22" t="s">
        <v>56</v>
      </c>
      <c r="C22">
        <f>SQRT(C20/(GETPIVOTDATA("Preço",$B$2)*(2-1)))</f>
        <v>0.47920361500734171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4ED9-E9F0-4CA3-A799-2791B739CE5D}">
  <dimension ref="B2:M10"/>
  <sheetViews>
    <sheetView workbookViewId="0">
      <selection activeCell="F4" sqref="F4"/>
    </sheetView>
  </sheetViews>
  <sheetFormatPr defaultRowHeight="14.4" x14ac:dyDescent="0.3"/>
  <cols>
    <col min="5" max="5" width="11" bestFit="1" customWidth="1"/>
  </cols>
  <sheetData>
    <row r="2" spans="2:13" x14ac:dyDescent="0.3">
      <c r="B2" t="s">
        <v>3</v>
      </c>
      <c r="C2" t="s">
        <v>67</v>
      </c>
      <c r="D2" t="s">
        <v>68</v>
      </c>
      <c r="E2" t="s">
        <v>69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2:13" x14ac:dyDescent="0.3">
      <c r="B3" t="s">
        <v>9</v>
      </c>
      <c r="C3">
        <f>COUNTIF(Veículos!$E$2:$E$31,B3)</f>
        <v>18</v>
      </c>
      <c r="D3">
        <f>AVERAGEIF(Veículos!$E$2:$E$31,B3,Veículos!$B$2:$B$31)</f>
        <v>10574.444444444445</v>
      </c>
      <c r="E3" cm="1">
        <f t="array" ref="E3">_xlfn.VAR.S(_xlfn._xlws.FILTER(Tabela1[Preço],Tabela1[N/I]=B3))</f>
        <v>25604051.673202612</v>
      </c>
      <c r="F3">
        <f>SQRT(E3)</f>
        <v>5060.0446315425534</v>
      </c>
      <c r="G3" cm="1">
        <f t="array" ref="G3">_xlfn.QUARTILE.INC(_xlfn._xlws.FILTER(Tabela1[Preço],Tabela1[N/I]=$B3),0)</f>
        <v>5257</v>
      </c>
      <c r="H3" cm="1">
        <f t="array" ref="H3">_xlfn.QUARTILE.INC(_xlfn._xlws.FILTER(Tabela1[Preço],Tabela1[N/I]=B$3),1)</f>
        <v>6322</v>
      </c>
      <c r="I3" cm="1">
        <f t="array" ref="I3">MEDIAN(_xlfn._xlws.FILTER(Tabela1[Preço],Tabela1[N/I]=$B3))</f>
        <v>9916</v>
      </c>
      <c r="J3" cm="1">
        <f t="array" ref="J3">_xlfn.QUARTILE.INC(_xlfn._xlws.FILTER(Tabela1[Preço],Tabela1[N/I]=$B3),3)</f>
        <v>13085.75</v>
      </c>
      <c r="K3" cm="1">
        <f t="array" ref="K3">_xlfn.QUARTILE.INC(_xlfn._xlws.FILTER(Tabela1[Preço],Tabela1[N/I]=$B3),4)</f>
        <v>24632</v>
      </c>
    </row>
    <row r="4" spans="2:13" x14ac:dyDescent="0.3">
      <c r="B4" t="s">
        <v>6</v>
      </c>
      <c r="C4">
        <f>COUNTIF(Veículos!$E$2:$E$31,B4)</f>
        <v>12</v>
      </c>
      <c r="D4">
        <f>AVERAGEIF(Veículos!$E$2:$E$31,B4,Veículos!$B$2:$B$31)</f>
        <v>19028.583333333332</v>
      </c>
      <c r="E4" cm="1">
        <f t="array" ref="E4">_xlfn.VAR.S(_xlfn._xlws.FILTER(Tabela1[Preço],Tabela1[N/I]=B4))</f>
        <v>110250193.90151519</v>
      </c>
      <c r="F4">
        <f>SQRT(E4)</f>
        <v>10500.009233401424</v>
      </c>
      <c r="G4" cm="1">
        <f t="array" ref="G4">_xlfn.QUARTILE.INC(_xlfn._xlws.FILTER(Tabela1[Preço],Tabela1[N/I]=$B4),0)</f>
        <v>7780</v>
      </c>
      <c r="H4" cm="1">
        <f t="array" ref="H4">_xlfn.QUARTILE.INC(_xlfn._xlws.FILTER(Tabela1[Preço],Tabela1[N/I]=B$3),1)</f>
        <v>6322</v>
      </c>
      <c r="I4" cm="1">
        <f t="array" ref="I4">MEDIAN(_xlfn._xlws.FILTER(Tabela1[Preço],Tabela1[N/I]=$B4))</f>
        <v>13770</v>
      </c>
      <c r="J4" cm="1">
        <f t="array" ref="J4">_xlfn.QUARTILE.INC(_xlfn._xlws.FILTER(Tabela1[Preço],Tabela1[N/I]=$B4),3)</f>
        <v>24560</v>
      </c>
      <c r="K4" cm="1">
        <f t="array" ref="K4">_xlfn.QUARTILE.INC(_xlfn._xlws.FILTER(Tabela1[Preço],Tabela1[N/I]=$B4),4)</f>
        <v>38850</v>
      </c>
    </row>
    <row r="7" spans="2:13" x14ac:dyDescent="0.3">
      <c r="K7" t="s">
        <v>79</v>
      </c>
      <c r="M7">
        <f>(E3*C3+E4*C4)/SUM(C3:C4)</f>
        <v>59462508.564527638</v>
      </c>
    </row>
    <row r="8" spans="2:13" x14ac:dyDescent="0.3">
      <c r="K8" t="s">
        <v>80</v>
      </c>
      <c r="M8">
        <f>'Análise Unidimensional'!C4</f>
        <v>72087425.156666666</v>
      </c>
    </row>
    <row r="10" spans="2:13" x14ac:dyDescent="0.3">
      <c r="K10" t="s">
        <v>78</v>
      </c>
      <c r="M10">
        <f>1-M7/M8</f>
        <v>0.17513341008784067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C30A-B134-4338-A649-0F056227C706}">
  <dimension ref="A1:E31"/>
  <sheetViews>
    <sheetView workbookViewId="0">
      <selection activeCell="B2" sqref="B2"/>
    </sheetView>
  </sheetViews>
  <sheetFormatPr defaultRowHeight="14.4" x14ac:dyDescent="0.3"/>
  <cols>
    <col min="1" max="1" width="14.21875" customWidth="1"/>
    <col min="2" max="2" width="12.77734375" bestFit="1" customWidth="1"/>
  </cols>
  <sheetData>
    <row r="1" spans="1:5" x14ac:dyDescent="0.3">
      <c r="A1" s="7" t="s">
        <v>47</v>
      </c>
      <c r="B1" s="16" t="s">
        <v>46</v>
      </c>
      <c r="D1" t="s">
        <v>9</v>
      </c>
      <c r="E1" t="s">
        <v>6</v>
      </c>
    </row>
    <row r="2" spans="1:5" x14ac:dyDescent="0.3">
      <c r="A2" s="8" cm="1">
        <f t="array" ref="A2:A14">_xlfn._xlws.FILTER(Tabela1[Preço],Tabela1[MotorQ]=A1)</f>
        <v>9440</v>
      </c>
      <c r="B2" s="8" cm="1">
        <f t="array" ref="B2:B18">_xlfn._xlws.FILTER(Tabela1[Preço],Tabela1[MotorQ]=B1)</f>
        <v>38850</v>
      </c>
      <c r="D2" cm="1">
        <f t="array" ref="D2:D19">_xlfn._xlws.FILTER(Tabela1[Preço],Tabela1[N/I]=D1)</f>
        <v>10532</v>
      </c>
      <c r="E2" cm="1">
        <f t="array" ref="E2:E13">_xlfn._xlws.FILTER(Tabela1[Preço],Tabela1[N/I]=E1)</f>
        <v>9440</v>
      </c>
    </row>
    <row r="3" spans="1:5" x14ac:dyDescent="0.3">
      <c r="A3" s="6">
        <v>6176</v>
      </c>
      <c r="B3" s="11">
        <v>10532</v>
      </c>
      <c r="D3">
        <v>16346</v>
      </c>
      <c r="E3">
        <v>38850</v>
      </c>
    </row>
    <row r="4" spans="1:5" x14ac:dyDescent="0.3">
      <c r="A4" s="6">
        <v>6700</v>
      </c>
      <c r="B4" s="11">
        <v>16346</v>
      </c>
      <c r="D4">
        <v>6176</v>
      </c>
      <c r="E4">
        <v>12890</v>
      </c>
    </row>
    <row r="5" spans="1:5" x14ac:dyDescent="0.3">
      <c r="A5" s="6">
        <v>5257</v>
      </c>
      <c r="B5" s="11">
        <v>12890</v>
      </c>
      <c r="D5">
        <v>13140</v>
      </c>
      <c r="E5">
        <v>31640</v>
      </c>
    </row>
    <row r="6" spans="1:5" x14ac:dyDescent="0.3">
      <c r="A6" s="6">
        <v>6260</v>
      </c>
      <c r="B6" s="11">
        <v>13140</v>
      </c>
      <c r="D6">
        <v>11630</v>
      </c>
      <c r="E6">
        <v>7780</v>
      </c>
    </row>
    <row r="7" spans="1:5" x14ac:dyDescent="0.3">
      <c r="A7" s="6">
        <v>7780</v>
      </c>
      <c r="B7" s="11">
        <v>31640</v>
      </c>
      <c r="D7">
        <v>6700</v>
      </c>
      <c r="E7">
        <v>10767</v>
      </c>
    </row>
    <row r="8" spans="1:5" x14ac:dyDescent="0.3">
      <c r="A8" s="6">
        <v>6316</v>
      </c>
      <c r="B8" s="11">
        <v>11630</v>
      </c>
      <c r="D8">
        <v>12923</v>
      </c>
      <c r="E8">
        <v>33718</v>
      </c>
    </row>
    <row r="9" spans="1:5" x14ac:dyDescent="0.3">
      <c r="A9" s="6">
        <v>5680</v>
      </c>
      <c r="B9" s="11">
        <v>12923</v>
      </c>
      <c r="D9">
        <v>5257</v>
      </c>
      <c r="E9">
        <v>21500</v>
      </c>
    </row>
    <row r="10" spans="1:5" x14ac:dyDescent="0.3">
      <c r="A10" s="6">
        <v>13840</v>
      </c>
      <c r="B10" s="11">
        <v>10767</v>
      </c>
      <c r="D10">
        <v>6260</v>
      </c>
      <c r="E10">
        <v>13840</v>
      </c>
    </row>
    <row r="11" spans="1:5" x14ac:dyDescent="0.3">
      <c r="A11" s="6">
        <v>13700</v>
      </c>
      <c r="B11" s="11">
        <v>33718</v>
      </c>
      <c r="D11">
        <v>6316</v>
      </c>
      <c r="E11">
        <v>13700</v>
      </c>
    </row>
    <row r="12" spans="1:5" x14ac:dyDescent="0.3">
      <c r="A12" s="6">
        <v>6340</v>
      </c>
      <c r="B12" s="11">
        <v>14460</v>
      </c>
      <c r="D12">
        <v>5680</v>
      </c>
      <c r="E12">
        <v>22200</v>
      </c>
    </row>
    <row r="13" spans="1:5" x14ac:dyDescent="0.3">
      <c r="A13" s="6">
        <v>9300</v>
      </c>
      <c r="B13" s="11">
        <v>21500</v>
      </c>
      <c r="D13">
        <v>14460</v>
      </c>
      <c r="E13">
        <v>12018</v>
      </c>
    </row>
    <row r="14" spans="1:5" x14ac:dyDescent="0.3">
      <c r="A14" s="6">
        <v>7742</v>
      </c>
      <c r="B14" s="11">
        <v>15520</v>
      </c>
      <c r="D14">
        <v>15520</v>
      </c>
    </row>
    <row r="15" spans="1:5" x14ac:dyDescent="0.3">
      <c r="A15" s="6"/>
      <c r="B15" s="11">
        <v>24632</v>
      </c>
      <c r="D15">
        <v>24632</v>
      </c>
    </row>
    <row r="16" spans="1:5" x14ac:dyDescent="0.3">
      <c r="A16" s="6"/>
      <c r="B16" s="11">
        <v>22200</v>
      </c>
      <c r="D16">
        <v>6340</v>
      </c>
    </row>
    <row r="17" spans="1:4" x14ac:dyDescent="0.3">
      <c r="A17" s="6"/>
      <c r="B17" s="11">
        <v>12018</v>
      </c>
      <c r="D17">
        <v>9300</v>
      </c>
    </row>
    <row r="18" spans="1:4" x14ac:dyDescent="0.3">
      <c r="A18" s="6"/>
      <c r="B18" s="11">
        <v>11386</v>
      </c>
      <c r="D18">
        <v>11386</v>
      </c>
    </row>
    <row r="19" spans="1:4" x14ac:dyDescent="0.3">
      <c r="A19" s="6"/>
      <c r="B19" s="11"/>
      <c r="D19">
        <v>7742</v>
      </c>
    </row>
    <row r="20" spans="1:4" x14ac:dyDescent="0.3">
      <c r="A20" s="6"/>
      <c r="B20" s="11"/>
    </row>
    <row r="21" spans="1:4" x14ac:dyDescent="0.3">
      <c r="A21" s="6"/>
      <c r="B21" s="11"/>
    </row>
    <row r="22" spans="1:4" x14ac:dyDescent="0.3">
      <c r="A22" s="6"/>
      <c r="B22" s="11"/>
    </row>
    <row r="23" spans="1:4" x14ac:dyDescent="0.3">
      <c r="A23" s="6"/>
      <c r="B23" s="11"/>
    </row>
    <row r="24" spans="1:4" x14ac:dyDescent="0.3">
      <c r="A24" s="6"/>
      <c r="B24" s="11"/>
    </row>
    <row r="25" spans="1:4" x14ac:dyDescent="0.3">
      <c r="A25" s="6"/>
      <c r="B25" s="11"/>
    </row>
    <row r="26" spans="1:4" x14ac:dyDescent="0.3">
      <c r="A26" s="6"/>
      <c r="B26" s="11"/>
    </row>
    <row r="27" spans="1:4" x14ac:dyDescent="0.3">
      <c r="A27" s="6"/>
      <c r="B27" s="11"/>
    </row>
    <row r="28" spans="1:4" x14ac:dyDescent="0.3">
      <c r="A28" s="6"/>
      <c r="B28" s="11"/>
    </row>
    <row r="29" spans="1:4" x14ac:dyDescent="0.3">
      <c r="A29" s="6"/>
      <c r="B29" s="11"/>
    </row>
    <row r="30" spans="1:4" x14ac:dyDescent="0.3">
      <c r="A30" s="6"/>
      <c r="B30" s="11"/>
    </row>
    <row r="31" spans="1:4" x14ac:dyDescent="0.3">
      <c r="A31" s="9"/>
      <c r="B31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Veículos</vt:lpstr>
      <vt:lpstr>Análise Unidimensional</vt:lpstr>
      <vt:lpstr>Análise 3</vt:lpstr>
      <vt:lpstr>Análise 4</vt:lpstr>
      <vt:lpstr>Análise 5</vt:lpstr>
      <vt:lpstr>Análise 6</vt:lpstr>
      <vt:lpstr>Análise 7</vt:lpstr>
      <vt:lpstr>Box_Plot_aux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MARIANI FERREIRA</dc:creator>
  <cp:lastModifiedBy>KAUAN MARIANI FERREIRA</cp:lastModifiedBy>
  <dcterms:created xsi:type="dcterms:W3CDTF">2024-09-24T16:35:18Z</dcterms:created>
  <dcterms:modified xsi:type="dcterms:W3CDTF">2024-10-03T21:54:44Z</dcterms:modified>
</cp:coreProperties>
</file>