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alexoort/Downloads/"/>
    </mc:Choice>
  </mc:AlternateContent>
  <xr:revisionPtr revIDLastSave="0" documentId="13_ncr:1_{6DF32839-A3FB-414B-8A76-09688286CBC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Financial Mod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" l="1"/>
  <c r="D40" i="2"/>
  <c r="G38" i="2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F38" i="2"/>
  <c r="E38" i="2"/>
  <c r="G35" i="2"/>
  <c r="B17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B14" i="2"/>
  <c r="B11" i="2"/>
  <c r="F6" i="2"/>
  <c r="D6" i="2"/>
  <c r="C6" i="2"/>
  <c r="F5" i="2"/>
  <c r="D5" i="2"/>
  <c r="C5" i="2"/>
  <c r="I4" i="2"/>
  <c r="D39" i="2" s="1"/>
  <c r="F4" i="2"/>
  <c r="D4" i="2"/>
  <c r="C4" i="2"/>
  <c r="F3" i="2"/>
  <c r="D3" i="2"/>
  <c r="C3" i="2"/>
  <c r="F2" i="2"/>
  <c r="B45" i="2" s="1"/>
  <c r="C46" i="2" s="1"/>
  <c r="D2" i="2"/>
  <c r="B9" i="2" s="1"/>
  <c r="C2" i="2"/>
  <c r="B8" i="2" s="1"/>
  <c r="B34" i="2" s="1"/>
  <c r="B43" i="2" s="1"/>
  <c r="AB39" i="2" l="1"/>
  <c r="T39" i="2"/>
  <c r="L39" i="2"/>
  <c r="AA39" i="2"/>
  <c r="S39" i="2"/>
  <c r="K39" i="2"/>
  <c r="Z39" i="2"/>
  <c r="R39" i="2"/>
  <c r="J39" i="2"/>
  <c r="Y39" i="2"/>
  <c r="Q39" i="2"/>
  <c r="I39" i="2"/>
  <c r="X39" i="2"/>
  <c r="P39" i="2"/>
  <c r="H39" i="2"/>
  <c r="V39" i="2"/>
  <c r="N39" i="2"/>
  <c r="W39" i="2"/>
  <c r="O39" i="2"/>
  <c r="G39" i="2"/>
  <c r="F39" i="2"/>
  <c r="U39" i="2"/>
  <c r="M39" i="2"/>
  <c r="E39" i="2"/>
  <c r="E42" i="2" s="1"/>
  <c r="E43" i="2" s="1"/>
  <c r="B19" i="2"/>
  <c r="B50" i="2"/>
  <c r="D46" i="2"/>
  <c r="D42" i="2"/>
  <c r="B47" i="2"/>
  <c r="B12" i="2"/>
  <c r="B25" i="2"/>
  <c r="C41" i="2" s="1"/>
  <c r="F40" i="2"/>
  <c r="C35" i="2" l="1"/>
  <c r="C43" i="2" s="1"/>
  <c r="B22" i="2"/>
  <c r="D41" i="2" s="1"/>
  <c r="D43" i="2" s="1"/>
  <c r="D47" i="2" s="1"/>
  <c r="E46" i="2"/>
  <c r="F42" i="2"/>
  <c r="F43" i="2" s="1"/>
  <c r="G40" i="2"/>
  <c r="C47" i="2" l="1"/>
  <c r="G42" i="2"/>
  <c r="G43" i="2" s="1"/>
  <c r="H40" i="2"/>
  <c r="E47" i="2"/>
  <c r="F46" i="2"/>
  <c r="F47" i="2" l="1"/>
  <c r="G46" i="2"/>
  <c r="H42" i="2"/>
  <c r="H43" i="2" s="1"/>
  <c r="I40" i="2"/>
  <c r="J40" i="2" l="1"/>
  <c r="I42" i="2"/>
  <c r="I43" i="2" s="1"/>
  <c r="G47" i="2"/>
  <c r="H46" i="2"/>
  <c r="I46" i="2" l="1"/>
  <c r="H47" i="2"/>
  <c r="K40" i="2"/>
  <c r="J42" i="2"/>
  <c r="J43" i="2" s="1"/>
  <c r="K42" i="2" l="1"/>
  <c r="K43" i="2" s="1"/>
  <c r="L40" i="2"/>
  <c r="J46" i="2"/>
  <c r="I47" i="2"/>
  <c r="J47" i="2" l="1"/>
  <c r="K46" i="2"/>
  <c r="L42" i="2"/>
  <c r="L43" i="2" s="1"/>
  <c r="M40" i="2"/>
  <c r="M42" i="2" l="1"/>
  <c r="M43" i="2" s="1"/>
  <c r="N40" i="2"/>
  <c r="K47" i="2"/>
  <c r="L46" i="2"/>
  <c r="L47" i="2" l="1"/>
  <c r="M46" i="2"/>
  <c r="N42" i="2"/>
  <c r="N43" i="2" s="1"/>
  <c r="O40" i="2"/>
  <c r="M47" i="2" l="1"/>
  <c r="N46" i="2"/>
  <c r="O42" i="2"/>
  <c r="O43" i="2" s="1"/>
  <c r="P40" i="2"/>
  <c r="P42" i="2" l="1"/>
  <c r="P43" i="2" s="1"/>
  <c r="Q40" i="2"/>
  <c r="N47" i="2"/>
  <c r="O46" i="2"/>
  <c r="O47" i="2" l="1"/>
  <c r="P46" i="2"/>
  <c r="R40" i="2"/>
  <c r="Q42" i="2"/>
  <c r="Q43" i="2" s="1"/>
  <c r="S40" i="2" l="1"/>
  <c r="R42" i="2"/>
  <c r="R43" i="2" s="1"/>
  <c r="Q46" i="2"/>
  <c r="P47" i="2"/>
  <c r="R46" i="2" l="1"/>
  <c r="Q47" i="2"/>
  <c r="S42" i="2"/>
  <c r="S43" i="2" s="1"/>
  <c r="T40" i="2"/>
  <c r="T42" i="2" l="1"/>
  <c r="T43" i="2" s="1"/>
  <c r="U40" i="2"/>
  <c r="R47" i="2"/>
  <c r="S46" i="2"/>
  <c r="S47" i="2" l="1"/>
  <c r="T46" i="2"/>
  <c r="U42" i="2"/>
  <c r="U43" i="2" s="1"/>
  <c r="V40" i="2"/>
  <c r="V42" i="2" l="1"/>
  <c r="V43" i="2" s="1"/>
  <c r="W40" i="2"/>
  <c r="T47" i="2"/>
  <c r="U46" i="2"/>
  <c r="W42" i="2" l="1"/>
  <c r="W43" i="2" s="1"/>
  <c r="X40" i="2"/>
  <c r="U47" i="2"/>
  <c r="V46" i="2"/>
  <c r="V47" i="2" l="1"/>
  <c r="W46" i="2"/>
  <c r="X42" i="2"/>
  <c r="X43" i="2" s="1"/>
  <c r="Y40" i="2"/>
  <c r="Z40" i="2" l="1"/>
  <c r="Y42" i="2"/>
  <c r="Y43" i="2" s="1"/>
  <c r="W47" i="2"/>
  <c r="X46" i="2"/>
  <c r="Y46" i="2" l="1"/>
  <c r="X47" i="2"/>
  <c r="AA40" i="2"/>
  <c r="Z42" i="2"/>
  <c r="Z43" i="2" s="1"/>
  <c r="AA42" i="2" l="1"/>
  <c r="AA43" i="2" s="1"/>
  <c r="AB40" i="2"/>
  <c r="AB42" i="2" s="1"/>
  <c r="AB43" i="2" s="1"/>
  <c r="B51" i="2" s="1"/>
  <c r="Z46" i="2"/>
  <c r="Y47" i="2"/>
  <c r="Z47" i="2" l="1"/>
  <c r="AA46" i="2"/>
  <c r="AA47" i="2" l="1"/>
  <c r="AB46" i="2"/>
  <c r="AB47" i="2" s="1"/>
  <c r="B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5" authorId="0" shapeId="0" xr:uid="{00000000-0006-0000-0100-000001000000}">
      <text>
        <r>
          <rPr>
            <sz val="10"/>
            <color rgb="FF000000"/>
            <rFont val="Arial"/>
            <scheme val="minor"/>
          </rPr>
          <t>@kyle@paces.com  Same point as below on this tab, not sure if it really matters from a directional perspective, but flagging that this is not capturing NYSun values
	-Oliver Sandreuter</t>
        </r>
      </text>
    </comment>
    <comment ref="D40" authorId="0" shapeId="0" xr:uid="{00000000-0006-0000-0100-000002000000}">
      <text>
        <r>
          <rPr>
            <sz val="10"/>
            <color rgb="FF000000"/>
            <rFont val="Arial"/>
            <scheme val="minor"/>
          </rPr>
          <t>@kyle@paces.com  probably doesn't matter for the informational/directional point of this, but this energy rate seems super hot IMO. NYSEG load zone B/C which I think is where Arcadia would likely be getting a VDER rate closer to $10
_Assigned to kyle@paces.com_
	-Oliver Sandreuter</t>
        </r>
      </text>
    </comment>
  </commentList>
</comments>
</file>

<file path=xl/sharedStrings.xml><?xml version="1.0" encoding="utf-8"?>
<sst xmlns="http://schemas.openxmlformats.org/spreadsheetml/2006/main" count="92" uniqueCount="85">
  <si>
    <t>Risk Category</t>
  </si>
  <si>
    <t>Interconnection</t>
  </si>
  <si>
    <t>Permitting</t>
  </si>
  <si>
    <t>Design</t>
  </si>
  <si>
    <t>Environmental</t>
  </si>
  <si>
    <t>Financing Risk</t>
  </si>
  <si>
    <t>DevEx</t>
  </si>
  <si>
    <t>Increase in CapEx</t>
  </si>
  <si>
    <t>Approval Risk</t>
  </si>
  <si>
    <t>Go/No-Go Probability</t>
  </si>
  <si>
    <t>Worst Case Approval Scenario</t>
  </si>
  <si>
    <t>System Overview</t>
  </si>
  <si>
    <t>DevEx Low Bound</t>
  </si>
  <si>
    <t>DevEx Upper Bound</t>
  </si>
  <si>
    <t>CapEx Low Bound</t>
  </si>
  <si>
    <t>CapEx Upper Bound</t>
  </si>
  <si>
    <t>Site Control</t>
  </si>
  <si>
    <t>Low</t>
  </si>
  <si>
    <t>Capacity Factor</t>
  </si>
  <si>
    <t>Degradation Rate</t>
  </si>
  <si>
    <t>System Size (MW_DC)</t>
  </si>
  <si>
    <t>Lease Escalation Rate</t>
  </si>
  <si>
    <t>System Size (MW_AC)</t>
  </si>
  <si>
    <t xml:space="preserve">Price Escalation </t>
  </si>
  <si>
    <t>Project Type</t>
  </si>
  <si>
    <t>Community Solar</t>
  </si>
  <si>
    <t>Base System Cost $/Watt</t>
  </si>
  <si>
    <t>Electricity Rate</t>
  </si>
  <si>
    <t>Total Dev Spend</t>
  </si>
  <si>
    <t>Total Additional CapEx Spend</t>
  </si>
  <si>
    <t>Base Case CapEx Spend</t>
  </si>
  <si>
    <t>Total CapEx Spend</t>
  </si>
  <si>
    <t>Lease</t>
  </si>
  <si>
    <t>Subscriber Management</t>
  </si>
  <si>
    <t>OpEx</t>
  </si>
  <si>
    <t>1st Year Revenue</t>
  </si>
  <si>
    <t>ITC</t>
  </si>
  <si>
    <t>ITC Amount</t>
  </si>
  <si>
    <t>NY Sun $/Watt Incentive</t>
  </si>
  <si>
    <t>NY Sun Total Incentive</t>
  </si>
  <si>
    <t>Financial Model</t>
  </si>
  <si>
    <t>Year Since Development Start</t>
  </si>
  <si>
    <t>Phase</t>
  </si>
  <si>
    <t>Development</t>
  </si>
  <si>
    <t>NTP</t>
  </si>
  <si>
    <t>COD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</si>
  <si>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</si>
  <si>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</si>
  <si>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</si>
  <si>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</si>
  <si>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</si>
  <si>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</si>
  <si>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</si>
  <si>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</si>
  <si>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</si>
  <si>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</si>
  <si>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</si>
  <si>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</si>
  <si>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</si>
  <si>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</si>
  <si>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</si>
  <si>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</si>
  <si>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</si>
  <si>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</si>
  <si>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</si>
  <si>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</si>
  <si>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</si>
  <si>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</si>
  <si>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</si>
  <si>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</si>
  <si>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0</t>
  </si>
  <si>
    <t>Year 1</t>
  </si>
  <si>
    <t>Year 2</t>
  </si>
  <si>
    <t>CapEx</t>
  </si>
  <si>
    <t>Plant Degradation Factor</t>
  </si>
  <si>
    <t>Electricity Generated (MWh)</t>
  </si>
  <si>
    <t>Electricity Rate ($/MWh)</t>
  </si>
  <si>
    <t>Benefits / Incentives</t>
  </si>
  <si>
    <t>Revenue</t>
  </si>
  <si>
    <t>Cash Flow</t>
  </si>
  <si>
    <t>% of Projects Reaching this Stage</t>
  </si>
  <si>
    <t>Expected Cash Flow</t>
  </si>
  <si>
    <t>Expected IRR (for portfolio of projects)</t>
  </si>
  <si>
    <t>Projects Reaching NTP</t>
  </si>
  <si>
    <t>IRR of successful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</si>
</sst>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0.0%"/>
  </numFmts>
  <fonts count="12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b/>
      <u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351C75"/>
        <bgColor rgb="FF351C75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wrapText="1"/>
    </xf>
    <xf numFmtId="0" fontId="3" fillId="3" borderId="0" xfId="0" applyFont="1" applyFill="1"/>
    <xf numFmtId="0" fontId="2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165" fontId="2" fillId="0" borderId="0" xfId="0" applyNumberFormat="1" applyFont="1"/>
    <xf numFmtId="0" fontId="4" fillId="0" borderId="0" xfId="0" applyFont="1"/>
    <xf numFmtId="165" fontId="5" fillId="0" borderId="0" xfId="0" applyNumberFormat="1" applyFont="1"/>
    <xf numFmtId="9" fontId="2" fillId="0" borderId="0" xfId="0" applyNumberFormat="1" applyFont="1"/>
    <xf numFmtId="0" fontId="6" fillId="9" borderId="1" xfId="0" applyFont="1" applyFill="1" applyBorder="1" applyAlignment="1">
      <alignment horizontal="center" vertical="center"/>
    </xf>
    <xf numFmtId="9" fontId="2" fillId="10" borderId="2" xfId="0" applyNumberFormat="1" applyFont="1" applyFill="1" applyBorder="1" applyAlignment="1">
      <alignment vertical="center"/>
    </xf>
    <xf numFmtId="0" fontId="6" fillId="9" borderId="2" xfId="0" applyFont="1" applyFill="1" applyBorder="1" applyAlignment="1">
      <alignment horizontal="center" vertical="center" wrapText="1"/>
    </xf>
    <xf numFmtId="166" fontId="2" fillId="10" borderId="3" xfId="0" applyNumberFormat="1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9" fontId="2" fillId="10" borderId="3" xfId="0" applyNumberFormat="1" applyFont="1" applyFill="1" applyBorder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7" fillId="9" borderId="2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8" fillId="0" borderId="0" xfId="0" applyFont="1"/>
    <xf numFmtId="0" fontId="5" fillId="0" borderId="0" xfId="0" applyFont="1"/>
    <xf numFmtId="0" fontId="8" fillId="0" borderId="4" xfId="0" applyFont="1" applyBorder="1"/>
    <xf numFmtId="165" fontId="8" fillId="0" borderId="4" xfId="0" applyNumberFormat="1" applyFont="1" applyBorder="1"/>
    <xf numFmtId="165" fontId="8" fillId="0" borderId="0" xfId="0" applyNumberFormat="1" applyFont="1"/>
    <xf numFmtId="0" fontId="8" fillId="11" borderId="4" xfId="0" applyFont="1" applyFill="1" applyBorder="1"/>
    <xf numFmtId="165" fontId="8" fillId="11" borderId="4" xfId="0" applyNumberFormat="1" applyFont="1" applyFill="1" applyBorder="1"/>
    <xf numFmtId="9" fontId="8" fillId="0" borderId="4" xfId="0" applyNumberFormat="1" applyFont="1" applyBorder="1"/>
    <xf numFmtId="164" fontId="8" fillId="0" borderId="4" xfId="0" applyNumberFormat="1" applyFont="1" applyBorder="1"/>
    <xf numFmtId="0" fontId="9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/>
    <xf numFmtId="0" fontId="11" fillId="0" borderId="0" xfId="0" applyFont="1" applyAlignment="1">
      <alignment vertical="top" wrapText="1"/>
    </xf>
    <xf numFmtId="166" fontId="2" fillId="0" borderId="0" xfId="0" applyNumberFormat="1" applyFont="1"/>
    <xf numFmtId="1" fontId="2" fillId="0" borderId="0" xfId="0" applyNumberFormat="1" applyFont="1"/>
    <xf numFmtId="0" fontId="7" fillId="12" borderId="5" xfId="0" applyFont="1" applyFill="1" applyBorder="1"/>
    <xf numFmtId="166" fontId="7" fillId="12" borderId="4" xfId="0" applyNumberFormat="1" applyFont="1" applyFill="1" applyBorder="1"/>
    <xf numFmtId="0" fontId="2" fillId="13" borderId="4" xfId="0" applyFont="1" applyFill="1" applyBorder="1"/>
    <xf numFmtId="166" fontId="2" fillId="13" borderId="4" xfId="0" applyNumberFormat="1" applyFont="1" applyFill="1" applyBorder="1"/>
    <xf numFmtId="0" fontId="2" fillId="4" borderId="0" xfId="0" applyFont="1" applyFill="1"/>
    <xf numFmtId="166" fontId="2" fillId="4" borderId="0" xfId="0" applyNumberFormat="1" applyFont="1" applyFill="1"/>
    <xf numFmtId="0" fontId="10" fillId="0" borderId="0" xfId="0" applyFont="1"/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Expected Cash Flow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'Financial Model'!$B$47:$AG$47</c:f>
              <c:numCache>
                <c:formatCode>"$"#,##0</c:formatCode>
                <c:ptCount val="32"/>
                <c:pt idx="0">
                  <c:v>-265200</c:v>
                </c:pt>
                <c:pt idx="1">
                  <c:v>-2372916.1607142864</c:v>
                </c:pt>
                <c:pt idx="2">
                  <c:v>915418.13303571439</c:v>
                </c:pt>
                <c:pt idx="3">
                  <c:v>153239.83941214287</c:v>
                </c:pt>
                <c:pt idx="4">
                  <c:v>155368.08491541434</c:v>
                </c:pt>
                <c:pt idx="5">
                  <c:v>157520.16430305174</c:v>
                </c:pt>
                <c:pt idx="6">
                  <c:v>159696.17963222848</c:v>
                </c:pt>
                <c:pt idx="7">
                  <c:v>161896.22750885112</c:v>
                </c:pt>
                <c:pt idx="8">
                  <c:v>164120.39882868572</c:v>
                </c:pt>
                <c:pt idx="9">
                  <c:v>166368.77851031019</c:v>
                </c:pt>
                <c:pt idx="10">
                  <c:v>168641.44521966818</c:v>
                </c:pt>
                <c:pt idx="11">
                  <c:v>170938.47108599634</c:v>
                </c:pt>
                <c:pt idx="12">
                  <c:v>173259.92140888979</c:v>
                </c:pt>
                <c:pt idx="13">
                  <c:v>175605.85435626455</c:v>
                </c:pt>
                <c:pt idx="14">
                  <c:v>177976.32065297075</c:v>
                </c:pt>
                <c:pt idx="15">
                  <c:v>180371.36325980269</c:v>
                </c:pt>
                <c:pt idx="16">
                  <c:v>182791.01704264674</c:v>
                </c:pt>
                <c:pt idx="17">
                  <c:v>185235.3084315006</c:v>
                </c:pt>
                <c:pt idx="18">
                  <c:v>187704.2550690916</c:v>
                </c:pt>
                <c:pt idx="19">
                  <c:v>190197.86544881362</c:v>
                </c:pt>
                <c:pt idx="20">
                  <c:v>192716.13854169686</c:v>
                </c:pt>
                <c:pt idx="21">
                  <c:v>195259.06341211588</c:v>
                </c:pt>
                <c:pt idx="22">
                  <c:v>197826.61882193506</c:v>
                </c:pt>
                <c:pt idx="23">
                  <c:v>200418.77282278214</c:v>
                </c:pt>
                <c:pt idx="24">
                  <c:v>203035.4823361343</c:v>
                </c:pt>
                <c:pt idx="25">
                  <c:v>205676.69272089138</c:v>
                </c:pt>
                <c:pt idx="26">
                  <c:v>208342.33732810436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61-F441-ADF2-DBCBC5A2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865201"/>
        <c:axId val="1336229950"/>
      </c:barChart>
      <c:catAx>
        <c:axId val="551865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336229950"/>
        <c:crosses val="autoZero"/>
        <c:auto val="1"/>
        <c:lblAlgn val="ctr"/>
        <c:lblOffset val="100"/>
        <c:noMultiLvlLbl val="1"/>
      </c:catAx>
      <c:valAx>
        <c:axId val="1336229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Expected Cash Flow</a:t>
                </a:r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5518652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50</xdr:row>
      <xdr:rowOff>95250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53"/>
  <sheetViews>
    <sheetView tabSelected="1" workbookViewId="0">
      <selection activeCell="D14" sqref="D14"/>
    </sheetView>
  </sheetViews>
  <sheetFormatPr baseColWidth="10" defaultColWidth="12.6640625" defaultRowHeight="15.75" customHeight="1" x14ac:dyDescent="0.15"/>
  <cols>
    <col min="1" max="1" width="38.6640625" customWidth="1"/>
    <col min="2" max="2" width="16.6640625" customWidth="1"/>
    <col min="3" max="3" width="14.6640625" customWidth="1"/>
    <col min="4" max="4" width="14.33203125" customWidth="1"/>
    <col min="5" max="5" width="15.1640625" customWidth="1"/>
    <col min="6" max="6" width="18.6640625" customWidth="1"/>
    <col min="7" max="7" width="18.5" customWidth="1"/>
    <col min="8" max="8" width="20.33203125" customWidth="1"/>
    <col min="9" max="9" width="22.6640625" customWidth="1"/>
    <col min="10" max="10" width="17.5" customWidth="1"/>
    <col min="11" max="11" width="15.5" customWidth="1"/>
    <col min="12" max="12" width="20.6640625" customWidth="1"/>
    <col min="13" max="13" width="15" customWidth="1"/>
    <col min="14" max="14" width="13.6640625" customWidth="1"/>
    <col min="15" max="15" width="12" customWidth="1"/>
    <col min="16" max="16" width="10.6640625" customWidth="1"/>
    <col min="17" max="17" width="8.1640625" customWidth="1"/>
    <col min="18" max="18" width="8.33203125" customWidth="1"/>
    <col min="19" max="19" width="9.1640625" customWidth="1"/>
    <col min="20" max="20" width="7.33203125" customWidth="1"/>
    <col min="21" max="21" width="8.6640625" customWidth="1"/>
    <col min="22" max="22" width="7" customWidth="1"/>
    <col min="23" max="23" width="9.1640625" customWidth="1"/>
    <col min="24" max="24" width="9.5" customWidth="1"/>
    <col min="25" max="25" width="8.83203125" customWidth="1"/>
    <col min="26" max="26" width="8.1640625" customWidth="1"/>
    <col min="27" max="27" width="8.83203125" customWidth="1"/>
    <col min="28" max="28" width="12.6640625" customWidth="1"/>
    <col min="29" max="29" width="9.1640625" customWidth="1"/>
    <col min="30" max="30" width="9.6640625" customWidth="1"/>
    <col min="31" max="31" width="8.1640625" customWidth="1"/>
    <col min="32" max="32" width="9.1640625" customWidth="1"/>
  </cols>
  <sheetData>
    <row r="1" spans="1:18" ht="42" x14ac:dyDescent="0.1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51" t="s">
        <v>11</v>
      </c>
      <c r="I1" s="48"/>
      <c r="J1" s="48"/>
      <c r="K1" s="48"/>
      <c r="O1" s="1" t="s">
        <v>12</v>
      </c>
      <c r="P1" s="1" t="s">
        <v>13</v>
      </c>
      <c r="Q1" s="1" t="s">
        <v>14</v>
      </c>
      <c r="R1" s="1" t="s">
        <v>15</v>
      </c>
    </row>
    <row r="2" spans="1:18" ht="28.5" customHeight="1" x14ac:dyDescent="0.2">
      <c r="A2" s="2" t="s">
        <v>16</v>
      </c>
      <c r="B2" s="9" t="s">
        <v>17</v>
      </c>
      <c r="C2" s="10">
        <f t="shared" ref="C2:C6" si="0">IF(B2="Low", O2, P2)</f>
        <v>7700</v>
      </c>
      <c r="D2" s="10">
        <f t="shared" ref="D2:D5" si="1">IF(B2="Low", Q2, R2)</f>
        <v>0</v>
      </c>
      <c r="E2" s="3">
        <v>5</v>
      </c>
      <c r="F2" s="11">
        <f t="shared" ref="F2:F6" si="2">1- ((1-G2)/14)*(E2-1)</f>
        <v>0.8</v>
      </c>
      <c r="G2" s="11">
        <v>0.3</v>
      </c>
      <c r="H2" s="12" t="s">
        <v>18</v>
      </c>
      <c r="I2" s="13">
        <v>0.2</v>
      </c>
      <c r="J2" s="14" t="s">
        <v>19</v>
      </c>
      <c r="K2" s="15">
        <v>5.0000000000000001E-3</v>
      </c>
      <c r="O2" s="3">
        <v>7700</v>
      </c>
      <c r="P2" s="3">
        <v>9000</v>
      </c>
      <c r="Q2" s="3">
        <v>0</v>
      </c>
      <c r="R2" s="3">
        <v>0</v>
      </c>
    </row>
    <row r="3" spans="1:18" ht="29.25" customHeight="1" x14ac:dyDescent="0.2">
      <c r="A3" s="5" t="s">
        <v>2</v>
      </c>
      <c r="B3" s="9" t="s">
        <v>17</v>
      </c>
      <c r="C3" s="10">
        <f t="shared" si="0"/>
        <v>40000</v>
      </c>
      <c r="D3" s="10">
        <f t="shared" si="1"/>
        <v>0</v>
      </c>
      <c r="E3" s="3">
        <v>6</v>
      </c>
      <c r="F3" s="11">
        <f t="shared" si="2"/>
        <v>0.75</v>
      </c>
      <c r="G3" s="11">
        <v>0.3</v>
      </c>
      <c r="H3" s="12" t="s">
        <v>20</v>
      </c>
      <c r="I3" s="16">
        <v>3</v>
      </c>
      <c r="J3" s="14" t="s">
        <v>21</v>
      </c>
      <c r="K3" s="17">
        <v>0.02</v>
      </c>
      <c r="O3" s="3">
        <v>40000</v>
      </c>
      <c r="P3" s="3">
        <v>90000</v>
      </c>
      <c r="Q3" s="3">
        <v>0</v>
      </c>
      <c r="R3" s="3">
        <v>0</v>
      </c>
    </row>
    <row r="4" spans="1:18" ht="30.75" customHeight="1" x14ac:dyDescent="0.2">
      <c r="A4" s="4" t="s">
        <v>1</v>
      </c>
      <c r="B4" s="9" t="s">
        <v>17</v>
      </c>
      <c r="C4" s="10">
        <f t="shared" si="0"/>
        <v>146250</v>
      </c>
      <c r="D4" s="10">
        <f t="shared" si="1"/>
        <v>250000</v>
      </c>
      <c r="E4" s="3">
        <v>8</v>
      </c>
      <c r="F4" s="11">
        <f t="shared" si="2"/>
        <v>0.875</v>
      </c>
      <c r="G4" s="11">
        <v>0.75</v>
      </c>
      <c r="H4" s="12" t="s">
        <v>22</v>
      </c>
      <c r="I4" s="16">
        <f>I3/1.25</f>
        <v>2.4</v>
      </c>
      <c r="J4" s="18" t="s">
        <v>23</v>
      </c>
      <c r="K4" s="17">
        <v>0.02</v>
      </c>
      <c r="O4" s="3">
        <v>146250</v>
      </c>
      <c r="P4" s="3">
        <v>157750</v>
      </c>
      <c r="Q4" s="3">
        <v>250000</v>
      </c>
      <c r="R4" s="3">
        <v>2000000</v>
      </c>
    </row>
    <row r="5" spans="1:18" ht="28.5" customHeight="1" x14ac:dyDescent="0.2">
      <c r="A5" s="6" t="s">
        <v>3</v>
      </c>
      <c r="B5" s="9" t="s">
        <v>17</v>
      </c>
      <c r="C5" s="10">
        <f t="shared" si="0"/>
        <v>44500</v>
      </c>
      <c r="D5" s="10">
        <f t="shared" si="1"/>
        <v>150000</v>
      </c>
      <c r="E5" s="3">
        <v>2</v>
      </c>
      <c r="F5" s="11">
        <f t="shared" si="2"/>
        <v>0.99285714285714288</v>
      </c>
      <c r="G5" s="11">
        <v>0.9</v>
      </c>
      <c r="H5" s="12" t="s">
        <v>24</v>
      </c>
      <c r="I5" s="16" t="s">
        <v>25</v>
      </c>
      <c r="J5" s="19" t="s">
        <v>26</v>
      </c>
      <c r="K5" s="20">
        <v>1.85</v>
      </c>
      <c r="O5" s="3">
        <v>44500</v>
      </c>
      <c r="P5" s="3">
        <v>52500</v>
      </c>
      <c r="Q5" s="3">
        <v>150000</v>
      </c>
      <c r="R5" s="3">
        <v>2000000</v>
      </c>
    </row>
    <row r="6" spans="1:18" ht="29.25" customHeight="1" x14ac:dyDescent="0.2">
      <c r="A6" s="7" t="s">
        <v>4</v>
      </c>
      <c r="B6" s="9" t="s">
        <v>17</v>
      </c>
      <c r="C6" s="10">
        <f t="shared" si="0"/>
        <v>26750</v>
      </c>
      <c r="D6" s="10">
        <f>IF(B6="LOW", Q6, R6)</f>
        <v>0</v>
      </c>
      <c r="E6" s="3">
        <v>6</v>
      </c>
      <c r="F6" s="11">
        <f t="shared" si="2"/>
        <v>0.8214285714285714</v>
      </c>
      <c r="G6" s="11">
        <v>0.5</v>
      </c>
      <c r="H6" s="12" t="s">
        <v>27</v>
      </c>
      <c r="I6" s="16">
        <v>100</v>
      </c>
      <c r="J6" s="21"/>
      <c r="K6" s="20"/>
      <c r="O6" s="3">
        <v>26750</v>
      </c>
      <c r="P6" s="3">
        <v>53000</v>
      </c>
      <c r="Q6" s="3">
        <v>0</v>
      </c>
      <c r="R6" s="3">
        <v>250000</v>
      </c>
    </row>
    <row r="7" spans="1:18" ht="34.5" customHeight="1" x14ac:dyDescent="0.2">
      <c r="A7" s="22"/>
      <c r="B7" s="22"/>
      <c r="C7" s="22"/>
      <c r="D7" s="22"/>
      <c r="E7" s="23"/>
      <c r="F7" s="11"/>
    </row>
    <row r="8" spans="1:18" ht="16" x14ac:dyDescent="0.2">
      <c r="A8" s="24" t="s">
        <v>28</v>
      </c>
      <c r="B8" s="25">
        <f>SUM(C2:C6)</f>
        <v>265200</v>
      </c>
      <c r="C8" s="22"/>
      <c r="D8" s="22"/>
      <c r="E8" s="22"/>
      <c r="F8" s="22"/>
    </row>
    <row r="9" spans="1:18" ht="16" x14ac:dyDescent="0.2">
      <c r="A9" s="24" t="s">
        <v>29</v>
      </c>
      <c r="B9" s="25">
        <f>SUM(D2:D6)</f>
        <v>400000</v>
      </c>
      <c r="C9" s="22"/>
      <c r="D9" s="22"/>
      <c r="E9" s="22"/>
      <c r="F9" s="22"/>
    </row>
    <row r="10" spans="1:18" ht="16" x14ac:dyDescent="0.2">
      <c r="A10" s="22"/>
      <c r="B10" s="26"/>
      <c r="C10" s="22"/>
      <c r="D10" s="22"/>
      <c r="E10" s="22"/>
      <c r="F10" s="22"/>
    </row>
    <row r="11" spans="1:18" ht="16" x14ac:dyDescent="0.2">
      <c r="A11" s="24" t="s">
        <v>30</v>
      </c>
      <c r="B11" s="25">
        <f>K5*I3*1000000</f>
        <v>5550000.0000000009</v>
      </c>
      <c r="C11" s="22"/>
      <c r="D11" s="22"/>
      <c r="E11" s="22"/>
      <c r="F11" s="22"/>
    </row>
    <row r="12" spans="1:18" ht="16" x14ac:dyDescent="0.2">
      <c r="A12" s="27" t="s">
        <v>31</v>
      </c>
      <c r="B12" s="28">
        <f>B11+B9</f>
        <v>5950000.0000000009</v>
      </c>
      <c r="C12" s="22"/>
      <c r="D12" s="22"/>
      <c r="E12" s="22"/>
      <c r="F12" s="22"/>
    </row>
    <row r="13" spans="1:18" ht="16" x14ac:dyDescent="0.2">
      <c r="A13" s="22"/>
      <c r="B13" s="26"/>
      <c r="C13" s="22"/>
      <c r="D13" s="22"/>
      <c r="E13" s="22"/>
      <c r="F13" s="22"/>
    </row>
    <row r="14" spans="1:18" ht="16" x14ac:dyDescent="0.2">
      <c r="A14" s="24" t="s">
        <v>32</v>
      </c>
      <c r="B14" s="25">
        <f>(3125*12 / 3)*I3</f>
        <v>37500</v>
      </c>
      <c r="C14" s="22"/>
      <c r="D14" s="22"/>
      <c r="E14" s="22"/>
      <c r="F14" s="22"/>
    </row>
    <row r="15" spans="1:18" ht="16" x14ac:dyDescent="0.2">
      <c r="A15" s="24" t="s">
        <v>33</v>
      </c>
      <c r="B15" s="25">
        <v>30000</v>
      </c>
    </row>
    <row r="16" spans="1:18" ht="16" x14ac:dyDescent="0.2">
      <c r="A16" s="24"/>
      <c r="B16" s="25"/>
      <c r="C16" s="22"/>
      <c r="D16" s="22"/>
      <c r="E16" s="22"/>
      <c r="F16" s="22"/>
    </row>
    <row r="17" spans="1:48" ht="16" x14ac:dyDescent="0.2">
      <c r="A17" s="27" t="s">
        <v>34</v>
      </c>
      <c r="B17" s="28">
        <f>SUM(B14:B16)</f>
        <v>67500</v>
      </c>
      <c r="C17" s="22"/>
      <c r="D17" s="22"/>
      <c r="E17" s="22"/>
      <c r="F17" s="22"/>
    </row>
    <row r="18" spans="1:48" ht="16" x14ac:dyDescent="0.2">
      <c r="A18" s="22"/>
      <c r="B18" s="26"/>
      <c r="C18" s="22"/>
      <c r="D18" s="22"/>
      <c r="E18" s="22"/>
      <c r="F18" s="22"/>
    </row>
    <row r="19" spans="1:48" ht="16" x14ac:dyDescent="0.2">
      <c r="A19" s="27" t="s">
        <v>35</v>
      </c>
      <c r="B19" s="28">
        <f>D39*D40</f>
        <v>420480</v>
      </c>
      <c r="C19" s="22"/>
      <c r="D19" s="22"/>
      <c r="E19" s="22"/>
      <c r="F19" s="22"/>
    </row>
    <row r="20" spans="1:48" ht="16" x14ac:dyDescent="0.2">
      <c r="A20" s="22"/>
      <c r="B20" s="22"/>
      <c r="C20" s="22"/>
      <c r="D20" s="22"/>
      <c r="E20" s="22"/>
      <c r="F20" s="22"/>
    </row>
    <row r="21" spans="1:48" ht="16" x14ac:dyDescent="0.2">
      <c r="A21" s="24" t="s">
        <v>36</v>
      </c>
      <c r="B21" s="29">
        <v>0.3</v>
      </c>
      <c r="C21" s="22"/>
      <c r="D21" s="22"/>
      <c r="E21" s="22"/>
      <c r="F21" s="22"/>
    </row>
    <row r="22" spans="1:48" ht="16" x14ac:dyDescent="0.2">
      <c r="A22" s="27" t="s">
        <v>37</v>
      </c>
      <c r="B22" s="28">
        <f>B12*B21</f>
        <v>1785000.0000000002</v>
      </c>
      <c r="C22" s="22"/>
      <c r="D22" s="22"/>
      <c r="E22" s="22"/>
      <c r="F22" s="22"/>
    </row>
    <row r="23" spans="1:48" ht="16" x14ac:dyDescent="0.2">
      <c r="A23" s="22"/>
      <c r="B23" s="22"/>
      <c r="C23" s="22"/>
      <c r="D23" s="22"/>
      <c r="E23" s="22"/>
      <c r="F23" s="22"/>
    </row>
    <row r="24" spans="1:48" ht="16" x14ac:dyDescent="0.2">
      <c r="A24" s="24" t="s">
        <v>38</v>
      </c>
      <c r="B24" s="30">
        <v>0.17</v>
      </c>
      <c r="C24" s="22"/>
      <c r="D24" s="22"/>
      <c r="E24" s="22"/>
      <c r="F24" s="22"/>
    </row>
    <row r="25" spans="1:48" ht="16" x14ac:dyDescent="0.2">
      <c r="A25" s="27" t="s">
        <v>39</v>
      </c>
      <c r="B25" s="28">
        <f>I4*1000*1000*B24</f>
        <v>408000.00000000006</v>
      </c>
      <c r="C25" s="22"/>
      <c r="D25" s="22"/>
      <c r="E25" s="22"/>
      <c r="F25" s="22"/>
    </row>
    <row r="28" spans="1:48" ht="13" x14ac:dyDescent="0.15">
      <c r="A28" s="31" t="s">
        <v>40</v>
      </c>
      <c r="B28" s="31"/>
      <c r="C28" s="31"/>
      <c r="D28" s="31"/>
      <c r="E28" s="31"/>
      <c r="F28" s="31"/>
    </row>
    <row r="30" spans="1:48" ht="13" x14ac:dyDescent="0.15">
      <c r="A30" s="32"/>
      <c r="B30" s="50" t="s">
        <v>41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spans="1:48" ht="14" x14ac:dyDescent="0.15">
      <c r="A31" s="49" t="s">
        <v>42</v>
      </c>
      <c r="B31" s="34" t="s">
        <v>43</v>
      </c>
      <c r="C31" s="35" t="s">
        <v>44</v>
      </c>
      <c r="D31" s="34" t="s">
        <v>45</v>
      </c>
      <c r="E31" s="47" t="s">
        <v>46</v>
      </c>
      <c r="F31" s="47" t="s">
        <v>47</v>
      </c>
      <c r="G31" s="47" t="s">
        <v>48</v>
      </c>
      <c r="H31" s="47" t="s">
        <v>49</v>
      </c>
      <c r="I31" s="47" t="s">
        <v>50</v>
      </c>
      <c r="J31" s="47" t="s">
        <v>51</v>
      </c>
      <c r="K31" s="47" t="s">
        <v>52</v>
      </c>
      <c r="L31" s="47" t="s">
        <v>53</v>
      </c>
      <c r="M31" s="47" t="s">
        <v>54</v>
      </c>
      <c r="N31" s="47" t="s">
        <v>55</v>
      </c>
      <c r="O31" s="47" t="s">
        <v>56</v>
      </c>
      <c r="P31" s="47" t="s">
        <v>57</v>
      </c>
      <c r="Q31" s="47" t="s">
        <v>58</v>
      </c>
      <c r="R31" s="47" t="s">
        <v>59</v>
      </c>
      <c r="S31" s="47" t="s">
        <v>60</v>
      </c>
      <c r="T31" s="47" t="s">
        <v>61</v>
      </c>
      <c r="U31" s="47" t="s">
        <v>62</v>
      </c>
      <c r="V31" s="47" t="s">
        <v>63</v>
      </c>
      <c r="W31" s="47" t="s">
        <v>64</v>
      </c>
      <c r="X31" s="47" t="s">
        <v>65</v>
      </c>
      <c r="Y31" s="47" t="s">
        <v>66</v>
      </c>
      <c r="Z31" s="47" t="s">
        <v>67</v>
      </c>
      <c r="AA31" s="47" t="s">
        <v>68</v>
      </c>
      <c r="AB31" s="47" t="s">
        <v>69</v>
      </c>
      <c r="AC31" s="47"/>
      <c r="AD31" s="47"/>
      <c r="AE31" s="47"/>
      <c r="AF31" s="47"/>
      <c r="AG31" s="47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</row>
    <row r="32" spans="1:48" ht="14" x14ac:dyDescent="0.15">
      <c r="A32" s="48"/>
      <c r="B32" s="3" t="s">
        <v>70</v>
      </c>
      <c r="C32" s="36" t="s">
        <v>71</v>
      </c>
      <c r="D32" s="3" t="s">
        <v>72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</row>
    <row r="33" spans="1:33" ht="13" x14ac:dyDescent="0.15">
      <c r="A33" s="33"/>
      <c r="B33" s="3"/>
      <c r="C33" s="3"/>
      <c r="D33" s="3"/>
      <c r="E33" s="3"/>
      <c r="F33" s="3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spans="1:33" ht="15" x14ac:dyDescent="0.15">
      <c r="A34" s="38" t="s">
        <v>6</v>
      </c>
      <c r="B34" s="8">
        <f>B8</f>
        <v>265200</v>
      </c>
    </row>
    <row r="35" spans="1:33" ht="13" x14ac:dyDescent="0.15">
      <c r="A35" s="33" t="s">
        <v>73</v>
      </c>
      <c r="C35" s="8">
        <f>B12</f>
        <v>5950000.0000000009</v>
      </c>
      <c r="G35" s="3">
        <f>$B$23</f>
        <v>0</v>
      </c>
    </row>
    <row r="36" spans="1:33" ht="13" x14ac:dyDescent="0.15">
      <c r="A36" s="33" t="s">
        <v>34</v>
      </c>
      <c r="D36" s="8">
        <f>$B$17</f>
        <v>67500</v>
      </c>
      <c r="E36" s="8">
        <f t="shared" ref="E36:AB36" si="3">D36*(1+$K$3)</f>
        <v>68850</v>
      </c>
      <c r="F36" s="8">
        <f t="shared" si="3"/>
        <v>70227</v>
      </c>
      <c r="G36" s="8">
        <f t="shared" si="3"/>
        <v>71631.540000000008</v>
      </c>
      <c r="H36" s="8">
        <f t="shared" si="3"/>
        <v>73064.170800000007</v>
      </c>
      <c r="I36" s="8">
        <f t="shared" si="3"/>
        <v>74525.454216000013</v>
      </c>
      <c r="J36" s="8">
        <f t="shared" si="3"/>
        <v>76015.963300320014</v>
      </c>
      <c r="K36" s="8">
        <f t="shared" si="3"/>
        <v>77536.282566326423</v>
      </c>
      <c r="L36" s="8">
        <f t="shared" si="3"/>
        <v>79087.008217652954</v>
      </c>
      <c r="M36" s="8">
        <f t="shared" si="3"/>
        <v>80668.748382006015</v>
      </c>
      <c r="N36" s="8">
        <f t="shared" si="3"/>
        <v>82282.123349646135</v>
      </c>
      <c r="O36" s="8">
        <f t="shared" si="3"/>
        <v>83927.765816639061</v>
      </c>
      <c r="P36" s="8">
        <f t="shared" si="3"/>
        <v>85606.321132971847</v>
      </c>
      <c r="Q36" s="8">
        <f t="shared" si="3"/>
        <v>87318.447555631283</v>
      </c>
      <c r="R36" s="8">
        <f t="shared" si="3"/>
        <v>89064.816506743911</v>
      </c>
      <c r="S36" s="8">
        <f t="shared" si="3"/>
        <v>90846.11283687879</v>
      </c>
      <c r="T36" s="8">
        <f t="shared" si="3"/>
        <v>92663.035093616374</v>
      </c>
      <c r="U36" s="8">
        <f t="shared" si="3"/>
        <v>94516.29579548871</v>
      </c>
      <c r="V36" s="8">
        <f t="shared" si="3"/>
        <v>96406.621711398489</v>
      </c>
      <c r="W36" s="8">
        <f t="shared" si="3"/>
        <v>98334.754145626459</v>
      </c>
      <c r="X36" s="8">
        <f t="shared" si="3"/>
        <v>100301.44922853899</v>
      </c>
      <c r="Y36" s="8">
        <f t="shared" si="3"/>
        <v>102307.47821310977</v>
      </c>
      <c r="Z36" s="8">
        <f t="shared" si="3"/>
        <v>104353.62777737198</v>
      </c>
      <c r="AA36" s="8">
        <f t="shared" si="3"/>
        <v>106440.70033291941</v>
      </c>
      <c r="AB36" s="8">
        <f t="shared" si="3"/>
        <v>108569.5143395778</v>
      </c>
    </row>
    <row r="37" spans="1:33" ht="13" x14ac:dyDescent="0.15">
      <c r="A37" s="33"/>
    </row>
    <row r="38" spans="1:33" ht="13" hidden="1" x14ac:dyDescent="0.15">
      <c r="A38" s="33" t="s">
        <v>74</v>
      </c>
      <c r="D38" s="3">
        <v>1</v>
      </c>
      <c r="E38" s="39">
        <f t="shared" ref="E38:AB38" si="4">D38-$K$2</f>
        <v>0.995</v>
      </c>
      <c r="F38" s="39">
        <f t="shared" si="4"/>
        <v>0.99</v>
      </c>
      <c r="G38" s="39">
        <f t="shared" si="4"/>
        <v>0.98499999999999999</v>
      </c>
      <c r="H38" s="39">
        <f t="shared" si="4"/>
        <v>0.98</v>
      </c>
      <c r="I38" s="39">
        <f t="shared" si="4"/>
        <v>0.97499999999999998</v>
      </c>
      <c r="J38" s="39">
        <f t="shared" si="4"/>
        <v>0.97</v>
      </c>
      <c r="K38" s="39">
        <f t="shared" si="4"/>
        <v>0.96499999999999997</v>
      </c>
      <c r="L38" s="39">
        <f t="shared" si="4"/>
        <v>0.96</v>
      </c>
      <c r="M38" s="39">
        <f t="shared" si="4"/>
        <v>0.95499999999999996</v>
      </c>
      <c r="N38" s="39">
        <f t="shared" si="4"/>
        <v>0.95</v>
      </c>
      <c r="O38" s="39">
        <f t="shared" si="4"/>
        <v>0.94499999999999995</v>
      </c>
      <c r="P38" s="39">
        <f t="shared" si="4"/>
        <v>0.94</v>
      </c>
      <c r="Q38" s="39">
        <f t="shared" si="4"/>
        <v>0.93499999999999994</v>
      </c>
      <c r="R38" s="39">
        <f t="shared" si="4"/>
        <v>0.92999999999999994</v>
      </c>
      <c r="S38" s="39">
        <f t="shared" si="4"/>
        <v>0.92499999999999993</v>
      </c>
      <c r="T38" s="39">
        <f t="shared" si="4"/>
        <v>0.91999999999999993</v>
      </c>
      <c r="U38" s="39">
        <f t="shared" si="4"/>
        <v>0.91499999999999992</v>
      </c>
      <c r="V38" s="39">
        <f t="shared" si="4"/>
        <v>0.90999999999999992</v>
      </c>
      <c r="W38" s="39">
        <f t="shared" si="4"/>
        <v>0.90499999999999992</v>
      </c>
      <c r="X38" s="39">
        <f t="shared" si="4"/>
        <v>0.89999999999999991</v>
      </c>
      <c r="Y38" s="39">
        <f t="shared" si="4"/>
        <v>0.89499999999999991</v>
      </c>
      <c r="Z38" s="39">
        <f t="shared" si="4"/>
        <v>0.8899999999999999</v>
      </c>
      <c r="AA38" s="39">
        <f t="shared" si="4"/>
        <v>0.8849999999999999</v>
      </c>
      <c r="AB38" s="39">
        <f t="shared" si="4"/>
        <v>0.87999999999999989</v>
      </c>
    </row>
    <row r="39" spans="1:33" ht="13" x14ac:dyDescent="0.15">
      <c r="A39" s="33" t="s">
        <v>75</v>
      </c>
      <c r="D39" s="40">
        <f>I4*I2*24*365</f>
        <v>4204.8</v>
      </c>
      <c r="E39" s="40">
        <f t="shared" ref="E39:AB39" si="5">$D$39*E38</f>
        <v>4183.7759999999998</v>
      </c>
      <c r="F39" s="40">
        <f t="shared" si="5"/>
        <v>4162.7520000000004</v>
      </c>
      <c r="G39" s="40">
        <f t="shared" si="5"/>
        <v>4141.7280000000001</v>
      </c>
      <c r="H39" s="40">
        <f t="shared" si="5"/>
        <v>4120.7039999999997</v>
      </c>
      <c r="I39" s="40">
        <f t="shared" si="5"/>
        <v>4099.68</v>
      </c>
      <c r="J39" s="40">
        <f t="shared" si="5"/>
        <v>4078.6559999999999</v>
      </c>
      <c r="K39" s="40">
        <f t="shared" si="5"/>
        <v>4057.6320000000001</v>
      </c>
      <c r="L39" s="40">
        <f t="shared" si="5"/>
        <v>4036.6080000000002</v>
      </c>
      <c r="M39" s="40">
        <f t="shared" si="5"/>
        <v>4015.5839999999998</v>
      </c>
      <c r="N39" s="40">
        <f t="shared" si="5"/>
        <v>3994.56</v>
      </c>
      <c r="O39" s="40">
        <f t="shared" si="5"/>
        <v>3973.5360000000001</v>
      </c>
      <c r="P39" s="40">
        <f t="shared" si="5"/>
        <v>3952.5120000000002</v>
      </c>
      <c r="Q39" s="40">
        <f t="shared" si="5"/>
        <v>3931.4879999999998</v>
      </c>
      <c r="R39" s="40">
        <f t="shared" si="5"/>
        <v>3910.4639999999999</v>
      </c>
      <c r="S39" s="40">
        <f t="shared" si="5"/>
        <v>3889.44</v>
      </c>
      <c r="T39" s="40">
        <f t="shared" si="5"/>
        <v>3868.4159999999997</v>
      </c>
      <c r="U39" s="40">
        <f t="shared" si="5"/>
        <v>3847.3919999999998</v>
      </c>
      <c r="V39" s="40">
        <f t="shared" si="5"/>
        <v>3826.3679999999999</v>
      </c>
      <c r="W39" s="40">
        <f t="shared" si="5"/>
        <v>3805.3439999999996</v>
      </c>
      <c r="X39" s="40">
        <f t="shared" si="5"/>
        <v>3784.3199999999997</v>
      </c>
      <c r="Y39" s="40">
        <f t="shared" si="5"/>
        <v>3763.2959999999998</v>
      </c>
      <c r="Z39" s="40">
        <f t="shared" si="5"/>
        <v>3742.2719999999999</v>
      </c>
      <c r="AA39" s="40">
        <f t="shared" si="5"/>
        <v>3721.2479999999996</v>
      </c>
      <c r="AB39" s="40">
        <f t="shared" si="5"/>
        <v>3700.2239999999997</v>
      </c>
      <c r="AC39" s="40"/>
      <c r="AD39" s="40"/>
      <c r="AE39" s="40"/>
      <c r="AF39" s="40"/>
      <c r="AG39" s="40"/>
    </row>
    <row r="40" spans="1:33" ht="13" x14ac:dyDescent="0.15">
      <c r="A40" s="33" t="s">
        <v>76</v>
      </c>
      <c r="D40" s="8">
        <f>I6</f>
        <v>100</v>
      </c>
      <c r="E40" s="8">
        <f t="shared" ref="E40:AB40" si="6">D40*(1+$K$4)</f>
        <v>102</v>
      </c>
      <c r="F40" s="8">
        <f t="shared" si="6"/>
        <v>104.04</v>
      </c>
      <c r="G40" s="8">
        <f t="shared" si="6"/>
        <v>106.1208</v>
      </c>
      <c r="H40" s="8">
        <f t="shared" si="6"/>
        <v>108.243216</v>
      </c>
      <c r="I40" s="8">
        <f t="shared" si="6"/>
        <v>110.40808032000001</v>
      </c>
      <c r="J40" s="8">
        <f t="shared" si="6"/>
        <v>112.61624192640001</v>
      </c>
      <c r="K40" s="8">
        <f t="shared" si="6"/>
        <v>114.868566764928</v>
      </c>
      <c r="L40" s="8">
        <f t="shared" si="6"/>
        <v>117.16593810022657</v>
      </c>
      <c r="M40" s="8">
        <f t="shared" si="6"/>
        <v>119.5092568622311</v>
      </c>
      <c r="N40" s="8">
        <f t="shared" si="6"/>
        <v>121.89944199947573</v>
      </c>
      <c r="O40" s="8">
        <f t="shared" si="6"/>
        <v>124.33743083946524</v>
      </c>
      <c r="P40" s="8">
        <f t="shared" si="6"/>
        <v>126.82417945625456</v>
      </c>
      <c r="Q40" s="8">
        <f t="shared" si="6"/>
        <v>129.36066304537965</v>
      </c>
      <c r="R40" s="8">
        <f t="shared" si="6"/>
        <v>131.94787630628724</v>
      </c>
      <c r="S40" s="8">
        <f t="shared" si="6"/>
        <v>134.58683383241299</v>
      </c>
      <c r="T40" s="8">
        <f t="shared" si="6"/>
        <v>137.27857050906127</v>
      </c>
      <c r="U40" s="8">
        <f t="shared" si="6"/>
        <v>140.02414191924251</v>
      </c>
      <c r="V40" s="8">
        <f t="shared" si="6"/>
        <v>142.82462475762736</v>
      </c>
      <c r="W40" s="8">
        <f t="shared" si="6"/>
        <v>145.6811172527799</v>
      </c>
      <c r="X40" s="8">
        <f t="shared" si="6"/>
        <v>148.59473959783551</v>
      </c>
      <c r="Y40" s="8">
        <f t="shared" si="6"/>
        <v>151.56663438979223</v>
      </c>
      <c r="Z40" s="8">
        <f t="shared" si="6"/>
        <v>154.59796707758807</v>
      </c>
      <c r="AA40" s="8">
        <f t="shared" si="6"/>
        <v>157.68992641913982</v>
      </c>
      <c r="AB40" s="8">
        <f t="shared" si="6"/>
        <v>160.84372494752262</v>
      </c>
      <c r="AC40" s="8"/>
      <c r="AD40" s="8"/>
      <c r="AE40" s="8"/>
      <c r="AF40" s="8"/>
      <c r="AG40" s="8"/>
    </row>
    <row r="41" spans="1:33" ht="13" x14ac:dyDescent="0.15">
      <c r="A41" s="33" t="s">
        <v>77</v>
      </c>
      <c r="C41" s="8">
        <f>B25</f>
        <v>408000.00000000006</v>
      </c>
      <c r="D41" s="8">
        <f>B22</f>
        <v>1785000.0000000002</v>
      </c>
    </row>
    <row r="42" spans="1:33" ht="13" x14ac:dyDescent="0.15">
      <c r="A42" s="33" t="s">
        <v>78</v>
      </c>
      <c r="B42" s="8"/>
      <c r="C42" s="8"/>
      <c r="D42" s="8">
        <f>D40*D39</f>
        <v>420480</v>
      </c>
      <c r="E42" s="8">
        <f t="shared" ref="E42:I42" si="7">E40*E39 + E41</f>
        <v>426745.152</v>
      </c>
      <c r="F42" s="8">
        <f t="shared" si="7"/>
        <v>433092.71808000008</v>
      </c>
      <c r="G42" s="8">
        <f t="shared" si="7"/>
        <v>439523.48874240002</v>
      </c>
      <c r="H42" s="8">
        <f t="shared" si="7"/>
        <v>446038.25314406399</v>
      </c>
      <c r="I42" s="8">
        <f t="shared" si="7"/>
        <v>452637.79872629768</v>
      </c>
      <c r="J42" s="8">
        <f t="shared" ref="J42:AB42" si="8">J40*J39</f>
        <v>459322.91083056293</v>
      </c>
      <c r="K42" s="8">
        <f t="shared" si="8"/>
        <v>466094.37229950837</v>
      </c>
      <c r="L42" s="8">
        <f t="shared" si="8"/>
        <v>472952.9630628794</v>
      </c>
      <c r="M42" s="8">
        <f t="shared" si="8"/>
        <v>479899.45970786538</v>
      </c>
      <c r="N42" s="8">
        <f t="shared" si="8"/>
        <v>486934.63503342576</v>
      </c>
      <c r="O42" s="8">
        <f t="shared" si="8"/>
        <v>494059.25758812536</v>
      </c>
      <c r="P42" s="8">
        <f t="shared" si="8"/>
        <v>501274.09119099961</v>
      </c>
      <c r="Q42" s="8">
        <f t="shared" si="8"/>
        <v>508579.89443495352</v>
      </c>
      <c r="R42" s="8">
        <f t="shared" si="8"/>
        <v>515977.42017218925</v>
      </c>
      <c r="S42" s="8">
        <f t="shared" si="8"/>
        <v>523467.41498114041</v>
      </c>
      <c r="T42" s="8">
        <f t="shared" si="8"/>
        <v>531050.61861438071</v>
      </c>
      <c r="U42" s="8">
        <f t="shared" si="8"/>
        <v>538727.76342695823</v>
      </c>
      <c r="V42" s="8">
        <f t="shared" si="8"/>
        <v>546499.57378459303</v>
      </c>
      <c r="W42" s="8">
        <f t="shared" si="8"/>
        <v>554366.76545116236</v>
      </c>
      <c r="X42" s="8">
        <f t="shared" si="8"/>
        <v>562330.04495488084</v>
      </c>
      <c r="Y42" s="8">
        <f t="shared" si="8"/>
        <v>570390.10893256753</v>
      </c>
      <c r="Z42" s="8">
        <f t="shared" si="8"/>
        <v>578547.64345137961</v>
      </c>
      <c r="AA42" s="8">
        <f t="shared" si="8"/>
        <v>586803.32330737112</v>
      </c>
      <c r="AB42" s="8">
        <f t="shared" si="8"/>
        <v>595157.81130022183</v>
      </c>
      <c r="AC42" s="8"/>
      <c r="AD42" s="8"/>
      <c r="AE42" s="8"/>
      <c r="AF42" s="8"/>
      <c r="AG42" s="8"/>
    </row>
    <row r="43" spans="1:33" ht="13" x14ac:dyDescent="0.15">
      <c r="A43" s="33" t="s">
        <v>79</v>
      </c>
      <c r="B43" s="8">
        <f>B42-SUM(B34:B36)</f>
        <v>-265200</v>
      </c>
      <c r="C43" s="8">
        <f>SUM(C41:C42)-SUM(C34:C36)</f>
        <v>-5542000.0000000009</v>
      </c>
      <c r="D43" s="8">
        <f>D42-SUM(D34:D36) + D41</f>
        <v>2137980</v>
      </c>
      <c r="E43" s="8">
        <f t="shared" ref="E43:AB43" si="9">E42-SUM(E34:E36)</f>
        <v>357895.152</v>
      </c>
      <c r="F43" s="8">
        <f t="shared" si="9"/>
        <v>362865.71808000008</v>
      </c>
      <c r="G43" s="8">
        <f t="shared" si="9"/>
        <v>367891.94874240004</v>
      </c>
      <c r="H43" s="8">
        <f t="shared" si="9"/>
        <v>372974.08234406397</v>
      </c>
      <c r="I43" s="8">
        <f t="shared" si="9"/>
        <v>378112.34451029764</v>
      </c>
      <c r="J43" s="8">
        <f t="shared" si="9"/>
        <v>383306.94753024291</v>
      </c>
      <c r="K43" s="8">
        <f t="shared" si="9"/>
        <v>388558.08973318193</v>
      </c>
      <c r="L43" s="8">
        <f t="shared" si="9"/>
        <v>393865.95484522643</v>
      </c>
      <c r="M43" s="8">
        <f t="shared" si="9"/>
        <v>399230.71132585936</v>
      </c>
      <c r="N43" s="8">
        <f t="shared" si="9"/>
        <v>404652.51168377965</v>
      </c>
      <c r="O43" s="8">
        <f t="shared" si="9"/>
        <v>410131.4917714863</v>
      </c>
      <c r="P43" s="8">
        <f t="shared" si="9"/>
        <v>415667.77005802776</v>
      </c>
      <c r="Q43" s="8">
        <f t="shared" si="9"/>
        <v>421261.44687932223</v>
      </c>
      <c r="R43" s="8">
        <f t="shared" si="9"/>
        <v>426912.60366544535</v>
      </c>
      <c r="S43" s="8">
        <f t="shared" si="9"/>
        <v>432621.3021442616</v>
      </c>
      <c r="T43" s="8">
        <f t="shared" si="9"/>
        <v>438387.58352076437</v>
      </c>
      <c r="U43" s="8">
        <f t="shared" si="9"/>
        <v>444211.46763146954</v>
      </c>
      <c r="V43" s="8">
        <f t="shared" si="9"/>
        <v>450092.95207319455</v>
      </c>
      <c r="W43" s="8">
        <f t="shared" si="9"/>
        <v>456032.01130553591</v>
      </c>
      <c r="X43" s="8">
        <f t="shared" si="9"/>
        <v>462028.59572634182</v>
      </c>
      <c r="Y43" s="8">
        <f t="shared" si="9"/>
        <v>468082.63071945775</v>
      </c>
      <c r="Z43" s="8">
        <f t="shared" si="9"/>
        <v>474194.01567400765</v>
      </c>
      <c r="AA43" s="8">
        <f t="shared" si="9"/>
        <v>480362.62297445169</v>
      </c>
      <c r="AB43" s="8">
        <f t="shared" si="9"/>
        <v>486588.29696064402</v>
      </c>
      <c r="AC43" s="8"/>
      <c r="AD43" s="8"/>
      <c r="AE43" s="8"/>
      <c r="AF43" s="8"/>
      <c r="AG43" s="8"/>
    </row>
    <row r="44" spans="1:33" ht="13" x14ac:dyDescent="0.15">
      <c r="A44" s="33"/>
    </row>
    <row r="45" spans="1:33" ht="13" x14ac:dyDescent="0.15">
      <c r="A45" s="33" t="s">
        <v>9</v>
      </c>
      <c r="B45" s="11">
        <f>F2*F3*F4*F5*F6</f>
        <v>0.42816964285714293</v>
      </c>
      <c r="C45" s="11">
        <v>1</v>
      </c>
      <c r="D45" s="11">
        <v>1</v>
      </c>
      <c r="E45" s="11">
        <v>1</v>
      </c>
      <c r="F45" s="11">
        <v>1</v>
      </c>
      <c r="G45" s="11">
        <v>1</v>
      </c>
      <c r="H45" s="11">
        <v>1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11">
        <v>1</v>
      </c>
      <c r="Q45" s="11">
        <v>1</v>
      </c>
      <c r="R45" s="11">
        <v>1</v>
      </c>
      <c r="S45" s="11">
        <v>1</v>
      </c>
      <c r="T45" s="11">
        <v>1</v>
      </c>
      <c r="U45" s="11">
        <v>1</v>
      </c>
      <c r="V45" s="11">
        <v>1</v>
      </c>
      <c r="W45" s="11">
        <v>1</v>
      </c>
      <c r="X45" s="11">
        <v>1</v>
      </c>
      <c r="Y45" s="11">
        <v>1</v>
      </c>
      <c r="Z45" s="11">
        <v>1</v>
      </c>
      <c r="AA45" s="11">
        <v>1</v>
      </c>
      <c r="AB45" s="11">
        <v>1</v>
      </c>
      <c r="AC45" s="11"/>
      <c r="AD45" s="11"/>
      <c r="AE45" s="11"/>
      <c r="AF45" s="11"/>
      <c r="AG45" s="11"/>
    </row>
    <row r="46" spans="1:33" ht="13" x14ac:dyDescent="0.15">
      <c r="A46" s="33" t="s">
        <v>80</v>
      </c>
      <c r="B46" s="11">
        <v>1</v>
      </c>
      <c r="C46" s="11">
        <f t="shared" ref="C46:AB46" si="10">B46*B45</f>
        <v>0.42816964285714293</v>
      </c>
      <c r="D46" s="11">
        <f t="shared" si="10"/>
        <v>0.42816964285714293</v>
      </c>
      <c r="E46" s="11">
        <f t="shared" si="10"/>
        <v>0.42816964285714293</v>
      </c>
      <c r="F46" s="11">
        <f t="shared" si="10"/>
        <v>0.42816964285714293</v>
      </c>
      <c r="G46" s="11">
        <f t="shared" si="10"/>
        <v>0.42816964285714293</v>
      </c>
      <c r="H46" s="11">
        <f t="shared" si="10"/>
        <v>0.42816964285714293</v>
      </c>
      <c r="I46" s="11">
        <f t="shared" si="10"/>
        <v>0.42816964285714293</v>
      </c>
      <c r="J46" s="11">
        <f t="shared" si="10"/>
        <v>0.42816964285714293</v>
      </c>
      <c r="K46" s="11">
        <f t="shared" si="10"/>
        <v>0.42816964285714293</v>
      </c>
      <c r="L46" s="11">
        <f t="shared" si="10"/>
        <v>0.42816964285714293</v>
      </c>
      <c r="M46" s="11">
        <f t="shared" si="10"/>
        <v>0.42816964285714293</v>
      </c>
      <c r="N46" s="11">
        <f t="shared" si="10"/>
        <v>0.42816964285714293</v>
      </c>
      <c r="O46" s="11">
        <f t="shared" si="10"/>
        <v>0.42816964285714293</v>
      </c>
      <c r="P46" s="11">
        <f t="shared" si="10"/>
        <v>0.42816964285714293</v>
      </c>
      <c r="Q46" s="11">
        <f t="shared" si="10"/>
        <v>0.42816964285714293</v>
      </c>
      <c r="R46" s="11">
        <f t="shared" si="10"/>
        <v>0.42816964285714293</v>
      </c>
      <c r="S46" s="11">
        <f t="shared" si="10"/>
        <v>0.42816964285714293</v>
      </c>
      <c r="T46" s="11">
        <f t="shared" si="10"/>
        <v>0.42816964285714293</v>
      </c>
      <c r="U46" s="11">
        <f t="shared" si="10"/>
        <v>0.42816964285714293</v>
      </c>
      <c r="V46" s="11">
        <f t="shared" si="10"/>
        <v>0.42816964285714293</v>
      </c>
      <c r="W46" s="11">
        <f t="shared" si="10"/>
        <v>0.42816964285714293</v>
      </c>
      <c r="X46" s="11">
        <f t="shared" si="10"/>
        <v>0.42816964285714293</v>
      </c>
      <c r="Y46" s="11">
        <f t="shared" si="10"/>
        <v>0.42816964285714293</v>
      </c>
      <c r="Z46" s="11">
        <f t="shared" si="10"/>
        <v>0.42816964285714293</v>
      </c>
      <c r="AA46" s="11">
        <f t="shared" si="10"/>
        <v>0.42816964285714293</v>
      </c>
      <c r="AB46" s="11">
        <f t="shared" si="10"/>
        <v>0.42816964285714293</v>
      </c>
      <c r="AC46" s="11"/>
      <c r="AD46" s="11"/>
      <c r="AE46" s="11"/>
      <c r="AF46" s="11"/>
      <c r="AG46" s="11"/>
    </row>
    <row r="47" spans="1:33" ht="13" x14ac:dyDescent="0.15">
      <c r="A47" s="33" t="s">
        <v>81</v>
      </c>
      <c r="B47" s="8">
        <f t="shared" ref="B47:AB47" si="11">B46*B43</f>
        <v>-265200</v>
      </c>
      <c r="C47" s="8">
        <f t="shared" si="11"/>
        <v>-2372916.1607142864</v>
      </c>
      <c r="D47" s="8">
        <f t="shared" si="11"/>
        <v>915418.13303571439</v>
      </c>
      <c r="E47" s="8">
        <f t="shared" si="11"/>
        <v>153239.83941214287</v>
      </c>
      <c r="F47" s="8">
        <f t="shared" si="11"/>
        <v>155368.08491541434</v>
      </c>
      <c r="G47" s="8">
        <f t="shared" si="11"/>
        <v>157520.16430305174</v>
      </c>
      <c r="H47" s="8">
        <f t="shared" si="11"/>
        <v>159696.17963222848</v>
      </c>
      <c r="I47" s="8">
        <f t="shared" si="11"/>
        <v>161896.22750885112</v>
      </c>
      <c r="J47" s="8">
        <f t="shared" si="11"/>
        <v>164120.39882868572</v>
      </c>
      <c r="K47" s="8">
        <f t="shared" si="11"/>
        <v>166368.77851031019</v>
      </c>
      <c r="L47" s="8">
        <f t="shared" si="11"/>
        <v>168641.44521966818</v>
      </c>
      <c r="M47" s="8">
        <f t="shared" si="11"/>
        <v>170938.47108599634</v>
      </c>
      <c r="N47" s="8">
        <f t="shared" si="11"/>
        <v>173259.92140888979</v>
      </c>
      <c r="O47" s="8">
        <f t="shared" si="11"/>
        <v>175605.85435626455</v>
      </c>
      <c r="P47" s="8">
        <f t="shared" si="11"/>
        <v>177976.32065297075</v>
      </c>
      <c r="Q47" s="8">
        <f t="shared" si="11"/>
        <v>180371.36325980269</v>
      </c>
      <c r="R47" s="8">
        <f t="shared" si="11"/>
        <v>182791.01704264674</v>
      </c>
      <c r="S47" s="8">
        <f t="shared" si="11"/>
        <v>185235.3084315006</v>
      </c>
      <c r="T47" s="8">
        <f t="shared" si="11"/>
        <v>187704.2550690916</v>
      </c>
      <c r="U47" s="8">
        <f t="shared" si="11"/>
        <v>190197.86544881362</v>
      </c>
      <c r="V47" s="8">
        <f t="shared" si="11"/>
        <v>192716.13854169686</v>
      </c>
      <c r="W47" s="8">
        <f t="shared" si="11"/>
        <v>195259.06341211588</v>
      </c>
      <c r="X47" s="8">
        <f t="shared" si="11"/>
        <v>197826.61882193506</v>
      </c>
      <c r="Y47" s="8">
        <f t="shared" si="11"/>
        <v>200418.77282278214</v>
      </c>
      <c r="Z47" s="8">
        <f t="shared" si="11"/>
        <v>203035.4823361343</v>
      </c>
      <c r="AA47" s="8">
        <f t="shared" si="11"/>
        <v>205676.69272089138</v>
      </c>
      <c r="AB47" s="8">
        <f t="shared" si="11"/>
        <v>208342.33732810436</v>
      </c>
      <c r="AC47" s="8"/>
      <c r="AD47" s="8"/>
      <c r="AE47" s="8"/>
      <c r="AF47" s="8"/>
      <c r="AG47" s="8"/>
    </row>
    <row r="49" spans="1:2" ht="13" x14ac:dyDescent="0.15">
      <c r="A49" s="41" t="s">
        <v>82</v>
      </c>
      <c r="B49" s="42">
        <f>IRR(B47:AG47)</f>
        <v>7.2358216147788701E-2</v>
      </c>
    </row>
    <row r="50" spans="1:2" ht="13" x14ac:dyDescent="0.15">
      <c r="A50" s="43" t="s">
        <v>83</v>
      </c>
      <c r="B50" s="44">
        <f>C46</f>
        <v>0.42816964285714293</v>
      </c>
    </row>
    <row r="51" spans="1:2" ht="13" x14ac:dyDescent="0.15">
      <c r="A51" s="45" t="s">
        <v>84</v>
      </c>
      <c r="B51" s="46">
        <f>IRR(B43:AF43)</f>
        <v>8.1375852006115412E-2</v>
      </c>
    </row>
    <row r="53" spans="1:2" ht="13" x14ac:dyDescent="0.15">
      <c r="A53" s="49"/>
      <c r="B53" s="48"/>
    </row>
  </sheetData>
  <mergeCells count="48">
    <mergeCell ref="AR31:AR32"/>
    <mergeCell ref="AS31:AS32"/>
    <mergeCell ref="AT31:AT32"/>
    <mergeCell ref="AU31:AU32"/>
    <mergeCell ref="AV31:AV32"/>
    <mergeCell ref="AF31:AF32"/>
    <mergeCell ref="AG31:AG32"/>
    <mergeCell ref="AO31:AO32"/>
    <mergeCell ref="AP31:AP32"/>
    <mergeCell ref="AQ31:AQ32"/>
    <mergeCell ref="AH31:AH32"/>
    <mergeCell ref="AI31:AI32"/>
    <mergeCell ref="AJ31:AJ32"/>
    <mergeCell ref="AK31:AK32"/>
    <mergeCell ref="AL31:AL32"/>
    <mergeCell ref="AM31:AM32"/>
    <mergeCell ref="AN31:AN32"/>
    <mergeCell ref="AA31:AA32"/>
    <mergeCell ref="AB31:AB32"/>
    <mergeCell ref="AC31:AC32"/>
    <mergeCell ref="AD31:AD32"/>
    <mergeCell ref="AE31:AE32"/>
    <mergeCell ref="V31:V32"/>
    <mergeCell ref="W31:W32"/>
    <mergeCell ref="X31:X32"/>
    <mergeCell ref="Y31:Y32"/>
    <mergeCell ref="Z31:Z32"/>
    <mergeCell ref="Q31:Q32"/>
    <mergeCell ref="R31:R32"/>
    <mergeCell ref="S31:S32"/>
    <mergeCell ref="T31:T32"/>
    <mergeCell ref="U31:U32"/>
    <mergeCell ref="H1:K1"/>
    <mergeCell ref="M31:M32"/>
    <mergeCell ref="N31:N32"/>
    <mergeCell ref="O31:O32"/>
    <mergeCell ref="P31:P32"/>
    <mergeCell ref="B30:N30"/>
    <mergeCell ref="A31:A32"/>
    <mergeCell ref="E31:E32"/>
    <mergeCell ref="F31:F32"/>
    <mergeCell ref="G31:G32"/>
    <mergeCell ref="H31:H32"/>
    <mergeCell ref="I31:I32"/>
    <mergeCell ref="J31:J32"/>
    <mergeCell ref="A53:B53"/>
    <mergeCell ref="K31:K32"/>
    <mergeCell ref="L31:L32"/>
  </mergeCells>
  <conditionalFormatting sqref="E2:E6">
    <cfRule type="colorScale" priority="1">
      <colorScale>
        <cfvo type="formula" val="1"/>
        <cfvo type="percentile" val="50"/>
        <cfvo type="formula" val="15"/>
        <color rgb="FF57BB8A"/>
        <color rgb="FFFFD666"/>
        <color rgb="FFE67C73"/>
      </colorScale>
    </cfRule>
  </conditionalFormatting>
  <dataValidations count="1">
    <dataValidation type="list" allowBlank="1" showErrorMessage="1" sqref="B2:B6" xr:uid="{00000000-0002-0000-0100-000000000000}">
      <formula1>"Low,High"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Oort</cp:lastModifiedBy>
  <dcterms:modified xsi:type="dcterms:W3CDTF">2025-04-17T11:01:10Z</dcterms:modified>
</cp:coreProperties>
</file>