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xoort/Documents/Paces/Whitepaper/irr-web-demo/"/>
    </mc:Choice>
  </mc:AlternateContent>
  <xr:revisionPtr revIDLastSave="0" documentId="13_ncr:1_{9BD96B25-A039-FD4F-AE20-DBCC26202DD7}" xr6:coauthVersionLast="47" xr6:coauthVersionMax="47" xr10:uidLastSave="{00000000-0000-0000-0000-000000000000}"/>
  <bookViews>
    <workbookView xWindow="0" yWindow="760" windowWidth="30240" windowHeight="18880" xr2:uid="{E6921FAF-EBA0-6549-BAF2-235AD37B525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4" i="1" l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G31" i="1"/>
  <c r="B14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D6" i="1"/>
  <c r="C6" i="1"/>
  <c r="I6" i="1"/>
  <c r="D36" i="1" s="1"/>
  <c r="F6" i="1"/>
  <c r="D5" i="1"/>
  <c r="C5" i="1"/>
  <c r="F5" i="1"/>
  <c r="D4" i="1"/>
  <c r="C4" i="1"/>
  <c r="I4" i="1"/>
  <c r="D35" i="1" s="1"/>
  <c r="F4" i="1"/>
  <c r="D3" i="1"/>
  <c r="C3" i="1"/>
  <c r="F3" i="1"/>
  <c r="C2" i="1"/>
  <c r="F2" i="1"/>
  <c r="B41" i="1" s="1"/>
  <c r="C42" i="1" s="1"/>
  <c r="D2" i="1"/>
  <c r="B9" i="1" l="1"/>
  <c r="B12" i="1" s="1"/>
  <c r="C31" i="1"/>
  <c r="C39" i="1" s="1"/>
  <c r="B19" i="1"/>
  <c r="D37" i="1" s="1"/>
  <c r="D42" i="1"/>
  <c r="B46" i="1"/>
  <c r="C43" i="1"/>
  <c r="D38" i="1"/>
  <c r="D39" i="1" s="1"/>
  <c r="E36" i="1"/>
  <c r="B8" i="1"/>
  <c r="B30" i="1" s="1"/>
  <c r="B39" i="1" s="1"/>
  <c r="AB35" i="1"/>
  <c r="T35" i="1"/>
  <c r="L35" i="1"/>
  <c r="B16" i="1"/>
  <c r="AA35" i="1"/>
  <c r="S35" i="1"/>
  <c r="K35" i="1"/>
  <c r="Z35" i="1"/>
  <c r="R35" i="1"/>
  <c r="J35" i="1"/>
  <c r="AG35" i="1"/>
  <c r="Y35" i="1"/>
  <c r="Q35" i="1"/>
  <c r="I35" i="1"/>
  <c r="AF35" i="1"/>
  <c r="X35" i="1"/>
  <c r="P35" i="1"/>
  <c r="H35" i="1"/>
  <c r="H37" i="1" s="1"/>
  <c r="AE35" i="1"/>
  <c r="W35" i="1"/>
  <c r="O35" i="1"/>
  <c r="G35" i="1"/>
  <c r="G37" i="1" s="1"/>
  <c r="AD35" i="1"/>
  <c r="V35" i="1"/>
  <c r="N35" i="1"/>
  <c r="F35" i="1"/>
  <c r="F37" i="1" s="1"/>
  <c r="AC35" i="1"/>
  <c r="U35" i="1"/>
  <c r="M35" i="1"/>
  <c r="E35" i="1"/>
  <c r="B43" i="1" l="1"/>
  <c r="F36" i="1"/>
  <c r="E38" i="1"/>
  <c r="E39" i="1" s="1"/>
  <c r="D43" i="1"/>
  <c r="E42" i="1"/>
  <c r="F42" i="1" l="1"/>
  <c r="E43" i="1"/>
  <c r="F38" i="1"/>
  <c r="F39" i="1" s="1"/>
  <c r="G36" i="1"/>
  <c r="G38" i="1" l="1"/>
  <c r="G39" i="1" s="1"/>
  <c r="H36" i="1"/>
  <c r="G42" i="1"/>
  <c r="F43" i="1"/>
  <c r="H38" i="1" l="1"/>
  <c r="H39" i="1" s="1"/>
  <c r="I36" i="1"/>
  <c r="H42" i="1"/>
  <c r="G43" i="1"/>
  <c r="I42" i="1" l="1"/>
  <c r="H43" i="1"/>
  <c r="I38" i="1"/>
  <c r="I39" i="1" s="1"/>
  <c r="J36" i="1"/>
  <c r="J38" i="1" l="1"/>
  <c r="J39" i="1" s="1"/>
  <c r="K36" i="1"/>
  <c r="J42" i="1"/>
  <c r="I43" i="1"/>
  <c r="K42" i="1" l="1"/>
  <c r="J43" i="1"/>
  <c r="K38" i="1"/>
  <c r="K39" i="1" s="1"/>
  <c r="L36" i="1"/>
  <c r="L38" i="1" l="1"/>
  <c r="L39" i="1" s="1"/>
  <c r="M36" i="1"/>
  <c r="L42" i="1"/>
  <c r="K43" i="1"/>
  <c r="L43" i="1" l="1"/>
  <c r="M42" i="1"/>
  <c r="N36" i="1"/>
  <c r="M38" i="1"/>
  <c r="M39" i="1" s="1"/>
  <c r="N38" i="1" l="1"/>
  <c r="N39" i="1" s="1"/>
  <c r="O36" i="1"/>
  <c r="N42" i="1"/>
  <c r="M43" i="1"/>
  <c r="O42" i="1" l="1"/>
  <c r="N43" i="1"/>
  <c r="O38" i="1"/>
  <c r="O39" i="1" s="1"/>
  <c r="P36" i="1"/>
  <c r="P38" i="1" l="1"/>
  <c r="P39" i="1" s="1"/>
  <c r="Q36" i="1"/>
  <c r="P42" i="1"/>
  <c r="O43" i="1"/>
  <c r="Q42" i="1" l="1"/>
  <c r="P43" i="1"/>
  <c r="Q38" i="1"/>
  <c r="Q39" i="1" s="1"/>
  <c r="R36" i="1"/>
  <c r="R38" i="1" l="1"/>
  <c r="R39" i="1" s="1"/>
  <c r="S36" i="1"/>
  <c r="R42" i="1"/>
  <c r="Q43" i="1"/>
  <c r="S38" i="1" l="1"/>
  <c r="S39" i="1" s="1"/>
  <c r="T36" i="1"/>
  <c r="S42" i="1"/>
  <c r="R43" i="1"/>
  <c r="T42" i="1" l="1"/>
  <c r="S43" i="1"/>
  <c r="T38" i="1"/>
  <c r="T39" i="1" s="1"/>
  <c r="U36" i="1"/>
  <c r="V36" i="1" l="1"/>
  <c r="U38" i="1"/>
  <c r="U39" i="1" s="1"/>
  <c r="T43" i="1"/>
  <c r="U42" i="1"/>
  <c r="V42" i="1" l="1"/>
  <c r="U43" i="1"/>
  <c r="V38" i="1"/>
  <c r="V39" i="1" s="1"/>
  <c r="W36" i="1"/>
  <c r="W38" i="1" l="1"/>
  <c r="W39" i="1" s="1"/>
  <c r="X36" i="1"/>
  <c r="W42" i="1"/>
  <c r="V43" i="1"/>
  <c r="X42" i="1" l="1"/>
  <c r="W43" i="1"/>
  <c r="X38" i="1"/>
  <c r="X39" i="1" s="1"/>
  <c r="Y36" i="1"/>
  <c r="Y38" i="1" l="1"/>
  <c r="Y39" i="1" s="1"/>
  <c r="Z36" i="1"/>
  <c r="Y42" i="1"/>
  <c r="X43" i="1"/>
  <c r="Z38" i="1" l="1"/>
  <c r="Z39" i="1" s="1"/>
  <c r="AA36" i="1"/>
  <c r="Z42" i="1"/>
  <c r="Y43" i="1"/>
  <c r="AA42" i="1" l="1"/>
  <c r="Z43" i="1"/>
  <c r="AA38" i="1"/>
  <c r="AA39" i="1" s="1"/>
  <c r="AB36" i="1"/>
  <c r="AB38" i="1" l="1"/>
  <c r="AB39" i="1" s="1"/>
  <c r="AC36" i="1"/>
  <c r="AB42" i="1"/>
  <c r="AA43" i="1"/>
  <c r="AD36" i="1" l="1"/>
  <c r="AC38" i="1"/>
  <c r="AC39" i="1" s="1"/>
  <c r="AB43" i="1"/>
  <c r="AC42" i="1"/>
  <c r="AD42" i="1" l="1"/>
  <c r="AC43" i="1"/>
  <c r="AD38" i="1"/>
  <c r="AD39" i="1" s="1"/>
  <c r="AE36" i="1"/>
  <c r="AE38" i="1" l="1"/>
  <c r="AE39" i="1" s="1"/>
  <c r="AF36" i="1"/>
  <c r="AE42" i="1"/>
  <c r="AD43" i="1"/>
  <c r="AF42" i="1" l="1"/>
  <c r="AE43" i="1"/>
  <c r="AF38" i="1"/>
  <c r="AF39" i="1" s="1"/>
  <c r="B47" i="1" s="1"/>
  <c r="AG36" i="1"/>
  <c r="AG38" i="1" s="1"/>
  <c r="AG39" i="1" s="1"/>
  <c r="AG42" i="1" l="1"/>
  <c r="AG43" i="1" s="1"/>
  <c r="AF43" i="1"/>
  <c r="B4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5" authorId="0" shapeId="0" xr:uid="{67908A17-ACB8-2F4F-9598-B5815AC4BCA9}">
      <text>
        <r>
          <rPr>
            <sz val="10"/>
            <color rgb="FF000000"/>
            <rFont val="Aptos Narrow"/>
            <family val="2"/>
            <scheme val="minor"/>
          </rPr>
          <t>from here: https://www.tax.ny.gov/research/property/renewable-appraisal.htm
	-Alexander Alonso</t>
        </r>
      </text>
    </comment>
    <comment ref="A36" authorId="0" shapeId="0" xr:uid="{DA0B21DB-125F-2B49-9737-19B6D71BD00B}">
      <text>
        <r>
          <rPr>
            <sz val="10"/>
            <color rgb="FF000000"/>
            <rFont val="Aptos Narrow"/>
            <family val="2"/>
            <scheme val="minor"/>
          </rPr>
          <t>estimated from here: https://www.tax.ny.gov/research/property/renewable-appraisal.htm
	-Alexander Alonso</t>
        </r>
      </text>
    </comment>
    <comment ref="D36" authorId="0" shapeId="0" xr:uid="{8F306346-CD58-1746-8F9B-B69D6C10E6A4}">
      <text>
        <r>
          <rPr>
            <sz val="10"/>
            <color rgb="FF000000"/>
            <rFont val="Aptos Narrow"/>
            <family val="2"/>
            <scheme val="minor"/>
          </rPr>
          <t>Fix these numbers
	-Alexander Alonso</t>
        </r>
      </text>
    </comment>
  </commentList>
</comments>
</file>

<file path=xl/sharedStrings.xml><?xml version="1.0" encoding="utf-8"?>
<sst xmlns="http://schemas.openxmlformats.org/spreadsheetml/2006/main" count="87" uniqueCount="79">
  <si>
    <t>Risk Category</t>
  </si>
  <si>
    <t>Financing Risk</t>
  </si>
  <si>
    <t>DevEx</t>
  </si>
  <si>
    <t>Increase in CapEx</t>
  </si>
  <si>
    <t>Approval Risk</t>
  </si>
  <si>
    <t>Go/No-Go Probability</t>
  </si>
  <si>
    <t>System Overview</t>
  </si>
  <si>
    <t>Cost Low Bound</t>
  </si>
  <si>
    <t>Cost Upper Bound</t>
  </si>
  <si>
    <t>CapEx Low Bound</t>
  </si>
  <si>
    <t>CapEx Upper Bound</t>
  </si>
  <si>
    <t>Site Control</t>
  </si>
  <si>
    <t>Low</t>
  </si>
  <si>
    <t>Capacity Factor</t>
  </si>
  <si>
    <t>Degradation Rate</t>
  </si>
  <si>
    <t>Permitting</t>
  </si>
  <si>
    <t>System Size (MW)</t>
  </si>
  <si>
    <t>Interconnection</t>
  </si>
  <si>
    <t>AC system Size</t>
  </si>
  <si>
    <t>Design</t>
  </si>
  <si>
    <t>Project Type</t>
  </si>
  <si>
    <t>Community Solar</t>
  </si>
  <si>
    <t>Environmental</t>
  </si>
  <si>
    <t>Electricity Rate</t>
  </si>
  <si>
    <t xml:space="preserve">Price Escalation </t>
  </si>
  <si>
    <t>Total Dev Spend</t>
  </si>
  <si>
    <t>Total Additional CapEx Spend</t>
  </si>
  <si>
    <t>Base Case CapEx Spend</t>
  </si>
  <si>
    <t>Total CapEx Spend</t>
  </si>
  <si>
    <t>OpEx</t>
  </si>
  <si>
    <t>Revenue</t>
  </si>
  <si>
    <t>ITC</t>
  </si>
  <si>
    <t>ITC Amount</t>
  </si>
  <si>
    <t>Financial Model</t>
  </si>
  <si>
    <t>Year Since Development Start</t>
  </si>
  <si>
    <t>Phase</t>
  </si>
  <si>
    <t>Development</t>
  </si>
  <si>
    <t>NTP and Construction</t>
  </si>
  <si>
    <t>COD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</si>
  <si>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</si>
  <si>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</si>
  <si>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</si>
  <si>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</si>
  <si>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</si>
  <si>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</si>
  <si>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</si>
  <si>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</si>
  <si>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</si>
  <si>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</si>
  <si>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</si>
  <si>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</si>
  <si>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</si>
  <si>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</si>
  <si>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</si>
  <si>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</si>
  <si>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</si>
  <si>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</si>
  <si>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</si>
  <si>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</si>
  <si>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</si>
  <si>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</si>
  <si>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</si>
  <si>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</si>
  <si>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</si>
  <si>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</si>
  <si>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</si>
  <si>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</si>
  <si>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</si>
  <si>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CapEx</t>
  </si>
  <si>
    <t>Plant Degradation Factor</t>
  </si>
  <si>
    <t>Electricity Generated (MWh)</t>
  </si>
  <si>
    <t>Electricity Rate ($/MWh)</t>
  </si>
  <si>
    <t>Benefits</t>
  </si>
  <si>
    <t>Cash Flow</t>
  </si>
  <si>
    <t>Cumulative Success Probability (up until current period)</t>
  </si>
  <si>
    <t>Expected Cash Flow</t>
  </si>
  <si>
    <t>Expected IRR (for portfolio of projects)</t>
  </si>
  <si>
    <t>Projects Reaching NTP</t>
  </si>
  <si>
    <t>IRR of successful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</si>
</sst>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&quot;$&quot;#,##0"/>
    <numFmt numFmtId="165" formatCode="#,##0.00;\(#,##0.00\)"/>
    <numFmt numFmtId="166" formatCode="&quot;$&quot;#,##0.00"/>
    <numFmt numFmtId="167" formatCode="0.0%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rgb="FFFFFFFF"/>
      <name val="Arial"/>
      <family val="2"/>
    </font>
    <font>
      <b/>
      <i/>
      <sz val="10"/>
      <color theme="1"/>
      <name val="Aptos Narrow"/>
      <family val="2"/>
      <scheme val="minor"/>
    </font>
    <font>
      <sz val="10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u/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351C75"/>
        <bgColor rgb="FF351C75"/>
      </patternFill>
    </fill>
    <fill>
      <patternFill patternType="solid">
        <fgColor rgb="FF1C4587"/>
        <bgColor rgb="FF1C4587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2" borderId="0" xfId="0" applyFont="1" applyFill="1" applyAlignment="1">
      <alignment wrapText="1"/>
    </xf>
    <xf numFmtId="0" fontId="4" fillId="3" borderId="0" xfId="0" applyFont="1" applyFill="1"/>
    <xf numFmtId="0" fontId="5" fillId="0" borderId="0" xfId="0" applyFont="1"/>
    <xf numFmtId="164" fontId="6" fillId="0" borderId="0" xfId="0" applyNumberFormat="1" applyFont="1"/>
    <xf numFmtId="0" fontId="7" fillId="0" borderId="0" xfId="0" applyFont="1"/>
    <xf numFmtId="2" fontId="7" fillId="0" borderId="0" xfId="0" applyNumberFormat="1" applyFont="1"/>
    <xf numFmtId="0" fontId="8" fillId="4" borderId="1" xfId="0" applyFont="1" applyFill="1" applyBorder="1"/>
    <xf numFmtId="9" fontId="7" fillId="5" borderId="2" xfId="0" applyNumberFormat="1" applyFont="1" applyFill="1" applyBorder="1"/>
    <xf numFmtId="0" fontId="8" fillId="4" borderId="2" xfId="0" applyFont="1" applyFill="1" applyBorder="1" applyAlignment="1">
      <alignment wrapText="1"/>
    </xf>
    <xf numFmtId="10" fontId="7" fillId="0" borderId="3" xfId="0" applyNumberFormat="1" applyFont="1" applyBorder="1"/>
    <xf numFmtId="0" fontId="4" fillId="6" borderId="0" xfId="0" applyFont="1" applyFill="1"/>
    <xf numFmtId="0" fontId="7" fillId="5" borderId="2" xfId="0" applyFont="1" applyFill="1" applyBorder="1"/>
    <xf numFmtId="0" fontId="7" fillId="4" borderId="2" xfId="0" applyFont="1" applyFill="1" applyBorder="1"/>
    <xf numFmtId="0" fontId="7" fillId="0" borderId="3" xfId="0" applyFont="1" applyBorder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9" fillId="0" borderId="0" xfId="0" applyFont="1"/>
    <xf numFmtId="0" fontId="9" fillId="0" borderId="4" xfId="0" applyFont="1" applyBorder="1"/>
    <xf numFmtId="164" fontId="9" fillId="0" borderId="4" xfId="0" applyNumberFormat="1" applyFont="1" applyBorder="1"/>
    <xf numFmtId="164" fontId="9" fillId="0" borderId="0" xfId="0" applyNumberFormat="1" applyFont="1"/>
    <xf numFmtId="9" fontId="9" fillId="0" borderId="4" xfId="0" applyNumberFormat="1" applyFont="1" applyBorder="1"/>
    <xf numFmtId="0" fontId="6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1" fillId="0" borderId="0" xfId="0" applyFont="1"/>
    <xf numFmtId="0" fontId="7" fillId="0" borderId="0" xfId="0" applyFont="1" applyAlignment="1">
      <alignment wrapText="1"/>
    </xf>
    <xf numFmtId="14" fontId="7" fillId="0" borderId="0" xfId="0" applyNumberFormat="1" applyFont="1"/>
    <xf numFmtId="0" fontId="13" fillId="0" borderId="0" xfId="0" applyFont="1" applyAlignment="1">
      <alignment vertical="top" wrapText="1"/>
    </xf>
    <xf numFmtId="164" fontId="7" fillId="0" borderId="0" xfId="0" applyNumberFormat="1" applyFont="1"/>
    <xf numFmtId="10" fontId="7" fillId="0" borderId="0" xfId="0" applyNumberFormat="1" applyFont="1"/>
    <xf numFmtId="165" fontId="7" fillId="0" borderId="0" xfId="0" applyNumberFormat="1" applyFont="1"/>
    <xf numFmtId="166" fontId="7" fillId="0" borderId="0" xfId="0" applyNumberFormat="1" applyFont="1"/>
    <xf numFmtId="0" fontId="11" fillId="10" borderId="5" xfId="0" applyFont="1" applyFill="1" applyBorder="1"/>
    <xf numFmtId="167" fontId="11" fillId="10" borderId="4" xfId="0" applyNumberFormat="1" applyFont="1" applyFill="1" applyBorder="1"/>
    <xf numFmtId="0" fontId="7" fillId="11" borderId="4" xfId="0" applyFont="1" applyFill="1" applyBorder="1"/>
    <xf numFmtId="167" fontId="7" fillId="11" borderId="4" xfId="0" applyNumberFormat="1" applyFont="1" applyFill="1" applyBorder="1"/>
    <xf numFmtId="0" fontId="7" fillId="12" borderId="0" xfId="0" applyFont="1" applyFill="1"/>
    <xf numFmtId="167" fontId="7" fillId="12" borderId="0" xfId="0" applyNumberFormat="1" applyFont="1" applyFill="1"/>
    <xf numFmtId="44" fontId="9" fillId="0" borderId="4" xfId="1" applyFont="1" applyBorder="1"/>
    <xf numFmtId="0" fontId="3" fillId="0" borderId="0" xfId="0" applyFont="1" applyAlignment="1">
      <alignment horizontal="center"/>
    </xf>
    <xf numFmtId="0" fontId="0" fillId="0" borderId="0" xfId="0"/>
    <xf numFmtId="0" fontId="11" fillId="0" borderId="0" xfId="0" applyFont="1" applyAlignment="1">
      <alignment horizontal="center"/>
    </xf>
    <xf numFmtId="0" fontId="11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Expected Cash Flow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'[1]New Simplified Financial Model'!$B$43:$AG$43</c:f>
              <c:numCache>
                <c:formatCode>General</c:formatCode>
                <c:ptCount val="32"/>
                <c:pt idx="0">
                  <c:v>-265200</c:v>
                </c:pt>
                <c:pt idx="1">
                  <c:v>-1296646.2541649314</c:v>
                </c:pt>
                <c:pt idx="2">
                  <c:v>531596.52164462721</c:v>
                </c:pt>
                <c:pt idx="3">
                  <c:v>144804.28247256871</c:v>
                </c:pt>
                <c:pt idx="4">
                  <c:v>147035.37545123382</c:v>
                </c:pt>
                <c:pt idx="5">
                  <c:v>149296.20622712499</c:v>
                </c:pt>
                <c:pt idx="6">
                  <c:v>151587.05603285047</c:v>
                </c:pt>
                <c:pt idx="7">
                  <c:v>153908.20529678313</c:v>
                </c:pt>
                <c:pt idx="8">
                  <c:v>156259.93349681358</c:v>
                </c:pt>
                <c:pt idx="9">
                  <c:v>158642.51900855979</c:v>
                </c:pt>
                <c:pt idx="10">
                  <c:v>161056.23894786867</c:v>
                </c:pt>
                <c:pt idx="11">
                  <c:v>163501.36900744287</c:v>
                </c:pt>
                <c:pt idx="12">
                  <c:v>165978.18328742037</c:v>
                </c:pt>
                <c:pt idx="13">
                  <c:v>168486.95411972937</c:v>
                </c:pt>
                <c:pt idx="14">
                  <c:v>171027.95188603853</c:v>
                </c:pt>
                <c:pt idx="15">
                  <c:v>173601.44482911518</c:v>
                </c:pt>
                <c:pt idx="16">
                  <c:v>176207.69885740103</c:v>
                </c:pt>
                <c:pt idx="17">
                  <c:v>178846.97734260975</c:v>
                </c:pt>
                <c:pt idx="18">
                  <c:v>181519.5409101441</c:v>
                </c:pt>
                <c:pt idx="19">
                  <c:v>184225.64722212765</c:v>
                </c:pt>
                <c:pt idx="20">
                  <c:v>186965.55075283817</c:v>
                </c:pt>
                <c:pt idx="21">
                  <c:v>189739.50255632607</c:v>
                </c:pt>
                <c:pt idx="22">
                  <c:v>192547.75002599458</c:v>
                </c:pt>
                <c:pt idx="23">
                  <c:v>195390.53664591294</c:v>
                </c:pt>
                <c:pt idx="24">
                  <c:v>198268.10173362811</c:v>
                </c:pt>
                <c:pt idx="25">
                  <c:v>201180.68017423406</c:v>
                </c:pt>
                <c:pt idx="26">
                  <c:v>204128.50214545187</c:v>
                </c:pt>
                <c:pt idx="27">
                  <c:v>207111.79283346649</c:v>
                </c:pt>
                <c:pt idx="28">
                  <c:v>210130.77213926145</c:v>
                </c:pt>
                <c:pt idx="29">
                  <c:v>213185.65437518404</c:v>
                </c:pt>
                <c:pt idx="30">
                  <c:v>216276.64795146725</c:v>
                </c:pt>
                <c:pt idx="31">
                  <c:v>219403.95505242894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A21-0944-8D9C-33504E67F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801332"/>
        <c:axId val="806654985"/>
      </c:barChart>
      <c:catAx>
        <c:axId val="6448013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806654985"/>
        <c:crosses val="autoZero"/>
        <c:auto val="1"/>
        <c:lblAlgn val="ctr"/>
        <c:lblOffset val="100"/>
        <c:noMultiLvlLbl val="1"/>
      </c:catAx>
      <c:valAx>
        <c:axId val="8066549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Expected Cash Flow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64480133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46</xdr:row>
      <xdr:rowOff>95250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832E0753-B22A-D640-843C-DC28D4F4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lexoort/Documents/Paces/Whitepaper%20Financial%20Model.xlsx" TargetMode="External"/><Relationship Id="rId1" Type="http://schemas.openxmlformats.org/officeDocument/2006/relationships/externalLinkPath" Target="/Users/alexoort/Documents/Paces/Whitepaper%20Financial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Projects"/>
      <sheetName val="CapacityArchetype"/>
      <sheetName val="DesignArchetype"/>
      <sheetName val="PermittingArchetype"/>
      <sheetName val="DesignInputs"/>
      <sheetName val="EnviroArchetype"/>
      <sheetName val="ArcadiaBaseModel"/>
      <sheetName val="New Simplified Financial Model"/>
      <sheetName val="Financial Model-Full"/>
      <sheetName val="IX cost"/>
      <sheetName val="Old Simplified Financial Model"/>
      <sheetName val="ArcadiaProjectModel"/>
      <sheetName val="PermittingInputs"/>
      <sheetName val="NY Permitting Database"/>
      <sheetName val="NY DG Interconnection Database"/>
      <sheetName val="Local Permitting Application Re"/>
      <sheetName val="ALEX Local Permitting Applica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43">
          <cell r="B43">
            <v>-265200</v>
          </cell>
          <cell r="C43">
            <v>-1296646.2541649314</v>
          </cell>
          <cell r="D43">
            <v>531596.52164462721</v>
          </cell>
          <cell r="E43">
            <v>144804.28247256871</v>
          </cell>
          <cell r="F43">
            <v>147035.37545123382</v>
          </cell>
          <cell r="G43">
            <v>149296.20622712499</v>
          </cell>
          <cell r="H43">
            <v>151587.05603285047</v>
          </cell>
          <cell r="I43">
            <v>153908.20529678313</v>
          </cell>
          <cell r="J43">
            <v>156259.93349681358</v>
          </cell>
          <cell r="K43">
            <v>158642.51900855979</v>
          </cell>
          <cell r="L43">
            <v>161056.23894786867</v>
          </cell>
          <cell r="M43">
            <v>163501.36900744287</v>
          </cell>
          <cell r="N43">
            <v>165978.18328742037</v>
          </cell>
          <cell r="O43">
            <v>168486.95411972937</v>
          </cell>
          <cell r="P43">
            <v>171027.95188603853</v>
          </cell>
          <cell r="Q43">
            <v>173601.44482911518</v>
          </cell>
          <cell r="R43">
            <v>176207.69885740103</v>
          </cell>
          <cell r="S43">
            <v>178846.97734260975</v>
          </cell>
          <cell r="T43">
            <v>181519.5409101441</v>
          </cell>
          <cell r="U43">
            <v>184225.64722212765</v>
          </cell>
          <cell r="V43">
            <v>186965.55075283817</v>
          </cell>
          <cell r="W43">
            <v>189739.50255632607</v>
          </cell>
          <cell r="X43">
            <v>192547.75002599458</v>
          </cell>
          <cell r="Y43">
            <v>195390.53664591294</v>
          </cell>
          <cell r="Z43">
            <v>198268.10173362811</v>
          </cell>
          <cell r="AA43">
            <v>201180.68017423406</v>
          </cell>
          <cell r="AB43">
            <v>204128.50214545187</v>
          </cell>
          <cell r="AC43">
            <v>207111.79283346649</v>
          </cell>
          <cell r="AD43">
            <v>210130.77213926145</v>
          </cell>
          <cell r="AE43">
            <v>213185.65437518404</v>
          </cell>
          <cell r="AF43">
            <v>216276.64795146725</v>
          </cell>
          <cell r="AG43">
            <v>219403.95505242894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0CD2-24C9-9448-8384-5D627F9C0045}">
  <dimension ref="A1:AG49"/>
  <sheetViews>
    <sheetView tabSelected="1" workbookViewId="0">
      <selection activeCell="O1" sqref="O1:R6"/>
    </sheetView>
  </sheetViews>
  <sheetFormatPr baseColWidth="10" defaultRowHeight="16" x14ac:dyDescent="0.2"/>
  <cols>
    <col min="2" max="2" width="15.83203125" bestFit="1" customWidth="1"/>
  </cols>
  <sheetData>
    <row r="1" spans="1:18" ht="4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42" t="s">
        <v>6</v>
      </c>
      <c r="I1" s="43"/>
      <c r="J1" s="43"/>
      <c r="K1" s="43"/>
      <c r="O1" s="1" t="s">
        <v>7</v>
      </c>
      <c r="P1" s="1" t="s">
        <v>8</v>
      </c>
      <c r="Q1" s="1" t="s">
        <v>9</v>
      </c>
      <c r="R1" s="1" t="s">
        <v>10</v>
      </c>
    </row>
    <row r="2" spans="1:18" ht="32" x14ac:dyDescent="0.2">
      <c r="A2" s="2" t="s">
        <v>11</v>
      </c>
      <c r="B2" s="3" t="s">
        <v>12</v>
      </c>
      <c r="C2" s="4">
        <f t="shared" ref="C2:C6" si="0">IF(B2="Low", O2, P2)</f>
        <v>7700</v>
      </c>
      <c r="D2" s="4">
        <f t="shared" ref="D2:D5" si="1">IF(B2="Low", Q2, R2)</f>
        <v>0</v>
      </c>
      <c r="E2" s="5">
        <v>5</v>
      </c>
      <c r="F2" s="6">
        <f t="shared" ref="F2:F6" si="2">1 - (0.5/14)*(E2-1)</f>
        <v>0.85714285714285721</v>
      </c>
      <c r="H2" s="7" t="s">
        <v>13</v>
      </c>
      <c r="I2" s="8">
        <v>0.2</v>
      </c>
      <c r="J2" s="9" t="s">
        <v>14</v>
      </c>
      <c r="K2" s="10">
        <v>5.0000000000000001E-3</v>
      </c>
      <c r="O2" s="5">
        <v>7700</v>
      </c>
      <c r="P2" s="5">
        <v>9000</v>
      </c>
      <c r="Q2" s="5">
        <v>0</v>
      </c>
      <c r="R2" s="5">
        <v>0</v>
      </c>
    </row>
    <row r="3" spans="1:18" x14ac:dyDescent="0.2">
      <c r="A3" s="11" t="s">
        <v>15</v>
      </c>
      <c r="B3" s="3" t="s">
        <v>12</v>
      </c>
      <c r="C3" s="4">
        <f t="shared" si="0"/>
        <v>40000</v>
      </c>
      <c r="D3" s="4">
        <f t="shared" si="1"/>
        <v>0</v>
      </c>
      <c r="E3" s="5">
        <v>6</v>
      </c>
      <c r="F3" s="6">
        <f t="shared" si="2"/>
        <v>0.8214285714285714</v>
      </c>
      <c r="H3" s="7" t="s">
        <v>16</v>
      </c>
      <c r="I3" s="12">
        <v>3</v>
      </c>
      <c r="J3" s="13"/>
      <c r="K3" s="14"/>
      <c r="O3" s="5">
        <v>40000</v>
      </c>
      <c r="P3" s="5">
        <v>90000</v>
      </c>
      <c r="Q3" s="5">
        <v>0</v>
      </c>
      <c r="R3" s="5">
        <v>0</v>
      </c>
    </row>
    <row r="4" spans="1:18" x14ac:dyDescent="0.2">
      <c r="A4" s="15" t="s">
        <v>17</v>
      </c>
      <c r="B4" s="3" t="s">
        <v>12</v>
      </c>
      <c r="C4" s="4">
        <f t="shared" si="0"/>
        <v>146250</v>
      </c>
      <c r="D4" s="4">
        <f t="shared" si="1"/>
        <v>250000</v>
      </c>
      <c r="E4" s="5">
        <v>8</v>
      </c>
      <c r="F4" s="6">
        <f t="shared" si="2"/>
        <v>0.75</v>
      </c>
      <c r="H4" s="7" t="s">
        <v>18</v>
      </c>
      <c r="I4" s="12">
        <f>I3/1.25</f>
        <v>2.4</v>
      </c>
      <c r="J4" s="13"/>
      <c r="K4" s="14"/>
      <c r="O4" s="5">
        <v>146250</v>
      </c>
      <c r="P4" s="5">
        <v>157750</v>
      </c>
      <c r="Q4" s="5">
        <v>250000</v>
      </c>
      <c r="R4" s="5">
        <v>2000000</v>
      </c>
    </row>
    <row r="5" spans="1:18" x14ac:dyDescent="0.2">
      <c r="A5" s="16" t="s">
        <v>19</v>
      </c>
      <c r="B5" s="3" t="s">
        <v>12</v>
      </c>
      <c r="C5" s="4">
        <f t="shared" si="0"/>
        <v>44500</v>
      </c>
      <c r="D5" s="4">
        <f t="shared" si="1"/>
        <v>150000</v>
      </c>
      <c r="E5" s="5">
        <v>2</v>
      </c>
      <c r="F5" s="6">
        <f t="shared" si="2"/>
        <v>0.9642857142857143</v>
      </c>
      <c r="H5" s="7" t="s">
        <v>20</v>
      </c>
      <c r="I5" s="12" t="s">
        <v>21</v>
      </c>
      <c r="J5" s="13"/>
      <c r="K5" s="14"/>
      <c r="O5" s="5">
        <v>44500</v>
      </c>
      <c r="P5" s="5">
        <v>52500</v>
      </c>
      <c r="Q5" s="5">
        <v>150000</v>
      </c>
      <c r="R5" s="5">
        <v>2000000</v>
      </c>
    </row>
    <row r="6" spans="1:18" x14ac:dyDescent="0.2">
      <c r="A6" s="17" t="s">
        <v>22</v>
      </c>
      <c r="B6" s="3" t="s">
        <v>12</v>
      </c>
      <c r="C6" s="4">
        <f t="shared" si="0"/>
        <v>26750</v>
      </c>
      <c r="D6" s="4">
        <f>IF(B6="LOW", Q6, R6)</f>
        <v>0</v>
      </c>
      <c r="E6" s="5">
        <v>6</v>
      </c>
      <c r="F6" s="6">
        <f t="shared" si="2"/>
        <v>0.8214285714285714</v>
      </c>
      <c r="H6" s="7" t="s">
        <v>23</v>
      </c>
      <c r="I6" s="12">
        <f>IF(I5="Community Solar", 90, IF(OR(I5="PPA", I5="Wholesale Market"), 75, "Other"))</f>
        <v>90</v>
      </c>
      <c r="J6" s="13"/>
      <c r="K6" s="14"/>
      <c r="O6" s="5">
        <v>26750</v>
      </c>
      <c r="P6" s="5">
        <v>53000</v>
      </c>
      <c r="Q6" s="5">
        <v>0</v>
      </c>
      <c r="R6" s="5">
        <v>250000</v>
      </c>
    </row>
    <row r="7" spans="1:18" x14ac:dyDescent="0.2">
      <c r="A7" s="18"/>
      <c r="B7" s="18"/>
      <c r="C7" s="18"/>
      <c r="D7" s="18"/>
      <c r="E7" s="18"/>
      <c r="F7" s="18"/>
      <c r="H7" s="7" t="s">
        <v>24</v>
      </c>
      <c r="I7" s="8">
        <v>0.02</v>
      </c>
      <c r="J7" s="13"/>
      <c r="K7" s="14"/>
    </row>
    <row r="8" spans="1:18" x14ac:dyDescent="0.2">
      <c r="A8" s="19" t="s">
        <v>25</v>
      </c>
      <c r="B8" s="20">
        <f>SUM(C2:C6)</f>
        <v>265200</v>
      </c>
      <c r="C8" s="18"/>
      <c r="D8" s="18"/>
      <c r="E8" s="18"/>
      <c r="F8" s="18"/>
    </row>
    <row r="9" spans="1:18" x14ac:dyDescent="0.2">
      <c r="A9" s="19" t="s">
        <v>26</v>
      </c>
      <c r="B9" s="20">
        <f>SUM(D2:D6)</f>
        <v>400000</v>
      </c>
      <c r="C9" s="18"/>
      <c r="D9" s="18"/>
      <c r="E9" s="18"/>
      <c r="F9" s="18"/>
    </row>
    <row r="10" spans="1:18" x14ac:dyDescent="0.2">
      <c r="A10" s="18"/>
      <c r="B10" s="21"/>
      <c r="C10" s="18"/>
      <c r="D10" s="18"/>
      <c r="E10" s="18"/>
      <c r="F10" s="18"/>
    </row>
    <row r="11" spans="1:18" x14ac:dyDescent="0.2">
      <c r="A11" s="19" t="s">
        <v>27</v>
      </c>
      <c r="B11" s="41">
        <v>2700000</v>
      </c>
      <c r="C11" s="18"/>
      <c r="D11" s="18"/>
      <c r="E11" s="18"/>
      <c r="F11" s="18"/>
    </row>
    <row r="12" spans="1:18" x14ac:dyDescent="0.2">
      <c r="A12" s="19" t="s">
        <v>28</v>
      </c>
      <c r="B12" s="20">
        <f>B11+B9</f>
        <v>3100000</v>
      </c>
      <c r="C12" s="18"/>
      <c r="D12" s="18"/>
      <c r="E12" s="18"/>
      <c r="F12" s="18"/>
    </row>
    <row r="13" spans="1:18" x14ac:dyDescent="0.2">
      <c r="A13" s="18"/>
      <c r="B13" s="21"/>
      <c r="C13" s="18"/>
      <c r="D13" s="18"/>
      <c r="E13" s="18"/>
      <c r="F13" s="18"/>
    </row>
    <row r="14" spans="1:18" x14ac:dyDescent="0.2">
      <c r="A14" s="19" t="s">
        <v>29</v>
      </c>
      <c r="B14" s="20">
        <f>3125*12</f>
        <v>37500</v>
      </c>
      <c r="C14" s="18"/>
      <c r="D14" s="18"/>
      <c r="E14" s="18"/>
      <c r="F14" s="18"/>
    </row>
    <row r="15" spans="1:18" x14ac:dyDescent="0.2">
      <c r="A15" s="18"/>
      <c r="B15" s="21"/>
      <c r="C15" s="18"/>
      <c r="D15" s="18"/>
      <c r="E15" s="18"/>
      <c r="F15" s="18"/>
    </row>
    <row r="16" spans="1:18" x14ac:dyDescent="0.2">
      <c r="A16" s="19" t="s">
        <v>30</v>
      </c>
      <c r="B16" s="20">
        <f>D35*D36</f>
        <v>378432</v>
      </c>
      <c r="C16" s="18"/>
      <c r="D16" s="18"/>
      <c r="E16" s="18"/>
      <c r="F16" s="18"/>
    </row>
    <row r="17" spans="1:33" x14ac:dyDescent="0.2">
      <c r="A17" s="18"/>
      <c r="B17" s="18"/>
      <c r="C17" s="18"/>
      <c r="D17" s="18"/>
      <c r="E17" s="18"/>
      <c r="F17" s="18"/>
    </row>
    <row r="18" spans="1:33" x14ac:dyDescent="0.2">
      <c r="A18" s="19" t="s">
        <v>31</v>
      </c>
      <c r="B18" s="22">
        <v>0.3</v>
      </c>
      <c r="C18" s="18"/>
      <c r="D18" s="18"/>
      <c r="E18" s="18"/>
      <c r="F18" s="18"/>
    </row>
    <row r="19" spans="1:33" x14ac:dyDescent="0.2">
      <c r="A19" s="23" t="s">
        <v>32</v>
      </c>
      <c r="B19" s="21">
        <f>B12*B18</f>
        <v>930000</v>
      </c>
      <c r="C19" s="18"/>
      <c r="D19" s="18"/>
      <c r="E19" s="18"/>
      <c r="F19" s="18"/>
    </row>
    <row r="20" spans="1:33" x14ac:dyDescent="0.2">
      <c r="A20" s="18"/>
      <c r="B20" s="18"/>
      <c r="C20" s="18"/>
      <c r="D20" s="18"/>
      <c r="E20" s="18"/>
      <c r="F20" s="18"/>
    </row>
    <row r="21" spans="1:33" x14ac:dyDescent="0.2">
      <c r="A21" s="18"/>
      <c r="B21" s="18"/>
      <c r="C21" s="18"/>
      <c r="D21" s="18"/>
      <c r="E21" s="18"/>
      <c r="F21" s="18"/>
    </row>
    <row r="24" spans="1:33" x14ac:dyDescent="0.2">
      <c r="A24" s="24" t="s">
        <v>33</v>
      </c>
      <c r="B24" s="24"/>
      <c r="C24" s="24"/>
      <c r="D24" s="24"/>
      <c r="E24" s="24"/>
      <c r="F24" s="24"/>
    </row>
    <row r="26" spans="1:33" x14ac:dyDescent="0.2">
      <c r="A26" s="25"/>
      <c r="B26" s="44" t="s">
        <v>34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</row>
    <row r="27" spans="1:33" x14ac:dyDescent="0.2">
      <c r="B27" s="26">
        <v>0</v>
      </c>
      <c r="C27" s="26">
        <v>1</v>
      </c>
      <c r="D27" s="26">
        <v>2</v>
      </c>
      <c r="E27" s="26">
        <v>3</v>
      </c>
      <c r="F27" s="26">
        <v>4</v>
      </c>
      <c r="G27" s="26">
        <v>5</v>
      </c>
      <c r="H27" s="26">
        <v>6</v>
      </c>
      <c r="I27" s="26">
        <v>7</v>
      </c>
      <c r="J27" s="26">
        <v>8</v>
      </c>
      <c r="K27" s="26">
        <v>9</v>
      </c>
      <c r="L27" s="26">
        <v>10</v>
      </c>
      <c r="M27" s="26">
        <v>11</v>
      </c>
      <c r="N27" s="26">
        <v>12</v>
      </c>
      <c r="O27" s="26">
        <v>13</v>
      </c>
      <c r="P27" s="26">
        <v>14</v>
      </c>
      <c r="Q27" s="26">
        <v>15</v>
      </c>
      <c r="R27" s="26">
        <v>16</v>
      </c>
      <c r="S27" s="26">
        <v>17</v>
      </c>
      <c r="T27" s="26">
        <v>18</v>
      </c>
      <c r="U27" s="26">
        <v>19</v>
      </c>
      <c r="V27" s="26">
        <v>20</v>
      </c>
      <c r="W27" s="26">
        <v>21</v>
      </c>
      <c r="X27" s="26">
        <v>22</v>
      </c>
      <c r="Y27" s="26">
        <v>23</v>
      </c>
      <c r="Z27" s="26">
        <v>24</v>
      </c>
      <c r="AA27" s="26">
        <v>25</v>
      </c>
      <c r="AB27" s="26">
        <v>26</v>
      </c>
      <c r="AC27" s="26">
        <v>27</v>
      </c>
      <c r="AD27" s="26">
        <v>28</v>
      </c>
      <c r="AE27" s="26">
        <v>29</v>
      </c>
      <c r="AF27" s="26">
        <v>30</v>
      </c>
      <c r="AG27" s="26">
        <v>31</v>
      </c>
    </row>
    <row r="28" spans="1:33" ht="30" x14ac:dyDescent="0.2">
      <c r="A28" s="27" t="s">
        <v>35</v>
      </c>
      <c r="B28" s="5" t="s">
        <v>36</v>
      </c>
      <c r="C28" s="28" t="s">
        <v>37</v>
      </c>
      <c r="D28" s="5" t="s">
        <v>38</v>
      </c>
      <c r="E28" s="5" t="s">
        <v>39</v>
      </c>
      <c r="F28" s="5" t="s">
        <v>40</v>
      </c>
      <c r="G28" s="5" t="s">
        <v>41</v>
      </c>
      <c r="H28" s="5" t="s">
        <v>42</v>
      </c>
      <c r="I28" s="5" t="s">
        <v>43</v>
      </c>
      <c r="J28" s="5" t="s">
        <v>44</v>
      </c>
      <c r="K28" s="5" t="s">
        <v>45</v>
      </c>
      <c r="L28" s="5" t="s">
        <v>46</v>
      </c>
      <c r="M28" s="5" t="s">
        <v>47</v>
      </c>
      <c r="N28" s="5" t="s">
        <v>48</v>
      </c>
      <c r="O28" s="5" t="s">
        <v>49</v>
      </c>
      <c r="P28" s="5" t="s">
        <v>50</v>
      </c>
      <c r="Q28" s="5" t="s">
        <v>51</v>
      </c>
      <c r="R28" s="5" t="s">
        <v>52</v>
      </c>
      <c r="S28" s="5" t="s">
        <v>53</v>
      </c>
      <c r="T28" s="5" t="s">
        <v>54</v>
      </c>
      <c r="U28" s="5" t="s">
        <v>55</v>
      </c>
      <c r="V28" s="5" t="s">
        <v>56</v>
      </c>
      <c r="W28" s="5" t="s">
        <v>57</v>
      </c>
      <c r="X28" s="5" t="s">
        <v>58</v>
      </c>
      <c r="Y28" s="5" t="s">
        <v>59</v>
      </c>
      <c r="Z28" s="5" t="s">
        <v>60</v>
      </c>
      <c r="AA28" s="5" t="s">
        <v>61</v>
      </c>
      <c r="AB28" s="5" t="s">
        <v>62</v>
      </c>
      <c r="AC28" s="5" t="s">
        <v>63</v>
      </c>
      <c r="AD28" s="5" t="s">
        <v>64</v>
      </c>
      <c r="AE28" s="5" t="s">
        <v>65</v>
      </c>
      <c r="AF28" s="5" t="s">
        <v>66</v>
      </c>
      <c r="AG28" s="5" t="s">
        <v>67</v>
      </c>
    </row>
    <row r="29" spans="1:33" x14ac:dyDescent="0.2">
      <c r="A29" s="27"/>
      <c r="B29" s="5"/>
      <c r="C29" s="5"/>
      <c r="D29" s="5"/>
      <c r="E29" s="5"/>
      <c r="F29" s="5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</row>
    <row r="30" spans="1:33" x14ac:dyDescent="0.2">
      <c r="A30" s="30" t="s">
        <v>2</v>
      </c>
      <c r="B30" s="31">
        <f>B8</f>
        <v>265200</v>
      </c>
    </row>
    <row r="31" spans="1:33" x14ac:dyDescent="0.2">
      <c r="A31" s="27" t="s">
        <v>68</v>
      </c>
      <c r="C31" s="31">
        <f>B12</f>
        <v>3100000</v>
      </c>
      <c r="G31" s="5">
        <f>$B$20</f>
        <v>0</v>
      </c>
    </row>
    <row r="32" spans="1:33" x14ac:dyDescent="0.2">
      <c r="A32" s="27" t="s">
        <v>29</v>
      </c>
      <c r="D32" s="31">
        <f>$B$14</f>
        <v>37500</v>
      </c>
      <c r="E32" s="31">
        <f t="shared" ref="E32:AG32" si="3">D32*1.01</f>
        <v>37875</v>
      </c>
      <c r="F32" s="31">
        <f t="shared" si="3"/>
        <v>38253.75</v>
      </c>
      <c r="G32" s="31">
        <f t="shared" si="3"/>
        <v>38636.287499999999</v>
      </c>
      <c r="H32" s="31">
        <f t="shared" si="3"/>
        <v>39022.650374999997</v>
      </c>
      <c r="I32" s="31">
        <f t="shared" si="3"/>
        <v>39412.876878750001</v>
      </c>
      <c r="J32" s="31">
        <f t="shared" si="3"/>
        <v>39807.005647537502</v>
      </c>
      <c r="K32" s="31">
        <f t="shared" si="3"/>
        <v>40205.075704012881</v>
      </c>
      <c r="L32" s="31">
        <f t="shared" si="3"/>
        <v>40607.126461053012</v>
      </c>
      <c r="M32" s="31">
        <f t="shared" si="3"/>
        <v>41013.197725663544</v>
      </c>
      <c r="N32" s="31">
        <f t="shared" si="3"/>
        <v>41423.329702920179</v>
      </c>
      <c r="O32" s="31">
        <f t="shared" si="3"/>
        <v>41837.562999949383</v>
      </c>
      <c r="P32" s="31">
        <f t="shared" si="3"/>
        <v>42255.938629948876</v>
      </c>
      <c r="Q32" s="31">
        <f t="shared" si="3"/>
        <v>42678.498016248363</v>
      </c>
      <c r="R32" s="31">
        <f t="shared" si="3"/>
        <v>43105.282996410846</v>
      </c>
      <c r="S32" s="31">
        <f t="shared" si="3"/>
        <v>43536.335826374954</v>
      </c>
      <c r="T32" s="31">
        <f t="shared" si="3"/>
        <v>43971.699184638703</v>
      </c>
      <c r="U32" s="31">
        <f t="shared" si="3"/>
        <v>44411.416176485087</v>
      </c>
      <c r="V32" s="31">
        <f t="shared" si="3"/>
        <v>44855.530338249941</v>
      </c>
      <c r="W32" s="31">
        <f t="shared" si="3"/>
        <v>45304.085641632439</v>
      </c>
      <c r="X32" s="31">
        <f t="shared" si="3"/>
        <v>45757.126498048761</v>
      </c>
      <c r="Y32" s="31">
        <f t="shared" si="3"/>
        <v>46214.697763029246</v>
      </c>
      <c r="Z32" s="31">
        <f t="shared" si="3"/>
        <v>46676.844740659537</v>
      </c>
      <c r="AA32" s="31">
        <f t="shared" si="3"/>
        <v>47143.613188066134</v>
      </c>
      <c r="AB32" s="31">
        <f t="shared" si="3"/>
        <v>47615.049319946796</v>
      </c>
      <c r="AC32" s="31">
        <f t="shared" si="3"/>
        <v>48091.199813146268</v>
      </c>
      <c r="AD32" s="31">
        <f t="shared" si="3"/>
        <v>48572.111811277733</v>
      </c>
      <c r="AE32" s="31">
        <f t="shared" si="3"/>
        <v>49057.832929390512</v>
      </c>
      <c r="AF32" s="31">
        <f t="shared" si="3"/>
        <v>49548.41125868442</v>
      </c>
      <c r="AG32" s="31">
        <f t="shared" si="3"/>
        <v>50043.895371271268</v>
      </c>
    </row>
    <row r="33" spans="1:33" x14ac:dyDescent="0.2">
      <c r="A33" s="27"/>
    </row>
    <row r="34" spans="1:33" x14ac:dyDescent="0.2">
      <c r="A34" s="27" t="s">
        <v>69</v>
      </c>
      <c r="D34" s="5">
        <v>1</v>
      </c>
      <c r="E34" s="32">
        <f t="shared" ref="E34:AG34" si="4">D34-$K$2</f>
        <v>0.995</v>
      </c>
      <c r="F34" s="32">
        <f t="shared" si="4"/>
        <v>0.99</v>
      </c>
      <c r="G34" s="32">
        <f t="shared" si="4"/>
        <v>0.98499999999999999</v>
      </c>
      <c r="H34" s="32">
        <f t="shared" si="4"/>
        <v>0.98</v>
      </c>
      <c r="I34" s="32">
        <f t="shared" si="4"/>
        <v>0.97499999999999998</v>
      </c>
      <c r="J34" s="32">
        <f t="shared" si="4"/>
        <v>0.97</v>
      </c>
      <c r="K34" s="32">
        <f t="shared" si="4"/>
        <v>0.96499999999999997</v>
      </c>
      <c r="L34" s="32">
        <f t="shared" si="4"/>
        <v>0.96</v>
      </c>
      <c r="M34" s="32">
        <f t="shared" si="4"/>
        <v>0.95499999999999996</v>
      </c>
      <c r="N34" s="32">
        <f t="shared" si="4"/>
        <v>0.95</v>
      </c>
      <c r="O34" s="32">
        <f t="shared" si="4"/>
        <v>0.94499999999999995</v>
      </c>
      <c r="P34" s="32">
        <f t="shared" si="4"/>
        <v>0.94</v>
      </c>
      <c r="Q34" s="32">
        <f t="shared" si="4"/>
        <v>0.93499999999999994</v>
      </c>
      <c r="R34" s="32">
        <f t="shared" si="4"/>
        <v>0.92999999999999994</v>
      </c>
      <c r="S34" s="32">
        <f t="shared" si="4"/>
        <v>0.92499999999999993</v>
      </c>
      <c r="T34" s="32">
        <f t="shared" si="4"/>
        <v>0.91999999999999993</v>
      </c>
      <c r="U34" s="32">
        <f t="shared" si="4"/>
        <v>0.91499999999999992</v>
      </c>
      <c r="V34" s="32">
        <f t="shared" si="4"/>
        <v>0.90999999999999992</v>
      </c>
      <c r="W34" s="32">
        <f t="shared" si="4"/>
        <v>0.90499999999999992</v>
      </c>
      <c r="X34" s="32">
        <f t="shared" si="4"/>
        <v>0.89999999999999991</v>
      </c>
      <c r="Y34" s="32">
        <f t="shared" si="4"/>
        <v>0.89499999999999991</v>
      </c>
      <c r="Z34" s="32">
        <f t="shared" si="4"/>
        <v>0.8899999999999999</v>
      </c>
      <c r="AA34" s="32">
        <f t="shared" si="4"/>
        <v>0.8849999999999999</v>
      </c>
      <c r="AB34" s="32">
        <f t="shared" si="4"/>
        <v>0.87999999999999989</v>
      </c>
      <c r="AC34" s="32">
        <f t="shared" si="4"/>
        <v>0.87499999999999989</v>
      </c>
      <c r="AD34" s="32">
        <f t="shared" si="4"/>
        <v>0.86999999999999988</v>
      </c>
      <c r="AE34" s="32">
        <f t="shared" si="4"/>
        <v>0.86499999999999988</v>
      </c>
      <c r="AF34" s="32">
        <f t="shared" si="4"/>
        <v>0.85999999999999988</v>
      </c>
      <c r="AG34" s="32">
        <f t="shared" si="4"/>
        <v>0.85499999999999987</v>
      </c>
    </row>
    <row r="35" spans="1:33" x14ac:dyDescent="0.2">
      <c r="A35" s="27" t="s">
        <v>70</v>
      </c>
      <c r="D35" s="5">
        <f>I4*I2*24*365</f>
        <v>4204.8</v>
      </c>
      <c r="E35" s="5">
        <f t="shared" ref="E35:AG35" si="5">$D$35*E34</f>
        <v>4183.7759999999998</v>
      </c>
      <c r="F35" s="5">
        <f t="shared" si="5"/>
        <v>4162.7520000000004</v>
      </c>
      <c r="G35" s="5">
        <f t="shared" si="5"/>
        <v>4141.7280000000001</v>
      </c>
      <c r="H35" s="5">
        <f t="shared" si="5"/>
        <v>4120.7039999999997</v>
      </c>
      <c r="I35" s="5">
        <f t="shared" si="5"/>
        <v>4099.68</v>
      </c>
      <c r="J35" s="5">
        <f t="shared" si="5"/>
        <v>4078.6559999999999</v>
      </c>
      <c r="K35" s="5">
        <f t="shared" si="5"/>
        <v>4057.6320000000001</v>
      </c>
      <c r="L35" s="5">
        <f t="shared" si="5"/>
        <v>4036.6080000000002</v>
      </c>
      <c r="M35" s="5">
        <f t="shared" si="5"/>
        <v>4015.5839999999998</v>
      </c>
      <c r="N35" s="5">
        <f t="shared" si="5"/>
        <v>3994.56</v>
      </c>
      <c r="O35" s="5">
        <f t="shared" si="5"/>
        <v>3973.5360000000001</v>
      </c>
      <c r="P35" s="5">
        <f t="shared" si="5"/>
        <v>3952.5120000000002</v>
      </c>
      <c r="Q35" s="5">
        <f t="shared" si="5"/>
        <v>3931.4879999999998</v>
      </c>
      <c r="R35" s="5">
        <f t="shared" si="5"/>
        <v>3910.4639999999999</v>
      </c>
      <c r="S35" s="5">
        <f t="shared" si="5"/>
        <v>3889.44</v>
      </c>
      <c r="T35" s="5">
        <f t="shared" si="5"/>
        <v>3868.4159999999997</v>
      </c>
      <c r="U35" s="5">
        <f t="shared" si="5"/>
        <v>3847.3919999999998</v>
      </c>
      <c r="V35" s="5">
        <f t="shared" si="5"/>
        <v>3826.3679999999999</v>
      </c>
      <c r="W35" s="5">
        <f t="shared" si="5"/>
        <v>3805.3439999999996</v>
      </c>
      <c r="X35" s="5">
        <f t="shared" si="5"/>
        <v>3784.3199999999997</v>
      </c>
      <c r="Y35" s="5">
        <f t="shared" si="5"/>
        <v>3763.2959999999998</v>
      </c>
      <c r="Z35" s="5">
        <f t="shared" si="5"/>
        <v>3742.2719999999999</v>
      </c>
      <c r="AA35" s="5">
        <f t="shared" si="5"/>
        <v>3721.2479999999996</v>
      </c>
      <c r="AB35" s="5">
        <f t="shared" si="5"/>
        <v>3700.2239999999997</v>
      </c>
      <c r="AC35" s="5">
        <f t="shared" si="5"/>
        <v>3679.2</v>
      </c>
      <c r="AD35" s="5">
        <f t="shared" si="5"/>
        <v>3658.1759999999995</v>
      </c>
      <c r="AE35" s="5">
        <f t="shared" si="5"/>
        <v>3637.1519999999996</v>
      </c>
      <c r="AF35" s="5">
        <f t="shared" si="5"/>
        <v>3616.1279999999997</v>
      </c>
      <c r="AG35" s="5">
        <f t="shared" si="5"/>
        <v>3595.1039999999998</v>
      </c>
    </row>
    <row r="36" spans="1:33" x14ac:dyDescent="0.2">
      <c r="A36" s="27" t="s">
        <v>71</v>
      </c>
      <c r="D36" s="5">
        <f>I6</f>
        <v>90</v>
      </c>
      <c r="E36" s="5">
        <f t="shared" ref="E36:AG36" si="6">D36*(1+$I$7)</f>
        <v>91.8</v>
      </c>
      <c r="F36" s="5">
        <f t="shared" si="6"/>
        <v>93.635999999999996</v>
      </c>
      <c r="G36" s="5">
        <f t="shared" si="6"/>
        <v>95.508719999999997</v>
      </c>
      <c r="H36" s="5">
        <f t="shared" si="6"/>
        <v>97.418894399999999</v>
      </c>
      <c r="I36" s="5">
        <f t="shared" si="6"/>
        <v>99.367272287999995</v>
      </c>
      <c r="J36" s="5">
        <f t="shared" si="6"/>
        <v>101.35461773375999</v>
      </c>
      <c r="K36" s="5">
        <f t="shared" si="6"/>
        <v>103.3817100884352</v>
      </c>
      <c r="L36" s="5">
        <f t="shared" si="6"/>
        <v>105.44934429020391</v>
      </c>
      <c r="M36" s="5">
        <f t="shared" si="6"/>
        <v>107.558331176008</v>
      </c>
      <c r="N36" s="5">
        <f t="shared" si="6"/>
        <v>109.70949779952817</v>
      </c>
      <c r="O36" s="5">
        <f t="shared" si="6"/>
        <v>111.90368775551873</v>
      </c>
      <c r="P36" s="5">
        <f t="shared" si="6"/>
        <v>114.14176151062911</v>
      </c>
      <c r="Q36" s="5">
        <f t="shared" si="6"/>
        <v>116.42459674084169</v>
      </c>
      <c r="R36" s="5">
        <f t="shared" si="6"/>
        <v>118.75308867565853</v>
      </c>
      <c r="S36" s="5">
        <f t="shared" si="6"/>
        <v>121.1281504491717</v>
      </c>
      <c r="T36" s="5">
        <f t="shared" si="6"/>
        <v>123.55071345815513</v>
      </c>
      <c r="U36" s="5">
        <f t="shared" si="6"/>
        <v>126.02172772731824</v>
      </c>
      <c r="V36" s="5">
        <f t="shared" si="6"/>
        <v>128.54216228186459</v>
      </c>
      <c r="W36" s="5">
        <f t="shared" si="6"/>
        <v>131.11300552750188</v>
      </c>
      <c r="X36" s="5">
        <f t="shared" si="6"/>
        <v>133.73526563805191</v>
      </c>
      <c r="Y36" s="5">
        <f t="shared" si="6"/>
        <v>136.40997095081295</v>
      </c>
      <c r="Z36" s="5">
        <f t="shared" si="6"/>
        <v>139.1381703698292</v>
      </c>
      <c r="AA36" s="5">
        <f t="shared" si="6"/>
        <v>141.92093377722577</v>
      </c>
      <c r="AB36" s="5">
        <f t="shared" si="6"/>
        <v>144.75935245277029</v>
      </c>
      <c r="AC36" s="5">
        <f t="shared" si="6"/>
        <v>147.6545395018257</v>
      </c>
      <c r="AD36" s="5">
        <f t="shared" si="6"/>
        <v>150.60763029186222</v>
      </c>
      <c r="AE36" s="5">
        <f t="shared" si="6"/>
        <v>153.61978289769948</v>
      </c>
      <c r="AF36" s="5">
        <f t="shared" si="6"/>
        <v>156.69217855565347</v>
      </c>
      <c r="AG36" s="5">
        <f t="shared" si="6"/>
        <v>159.82602212676653</v>
      </c>
    </row>
    <row r="37" spans="1:33" x14ac:dyDescent="0.2">
      <c r="A37" s="27" t="s">
        <v>72</v>
      </c>
      <c r="D37" s="31">
        <f>B19</f>
        <v>930000</v>
      </c>
      <c r="F37" s="5">
        <f t="shared" ref="F37:H37" si="7">C21*F35</f>
        <v>0</v>
      </c>
      <c r="G37" s="5">
        <f t="shared" si="7"/>
        <v>0</v>
      </c>
      <c r="H37" s="5">
        <f t="shared" si="7"/>
        <v>0</v>
      </c>
    </row>
    <row r="38" spans="1:33" x14ac:dyDescent="0.2">
      <c r="A38" s="27" t="s">
        <v>30</v>
      </c>
      <c r="D38" s="33">
        <f>D36*D35</f>
        <v>378432</v>
      </c>
      <c r="E38" s="5">
        <f t="shared" ref="E38:I38" si="8">E36*E35 + E37</f>
        <v>384070.63679999998</v>
      </c>
      <c r="F38" s="5">
        <f t="shared" si="8"/>
        <v>389783.44627200003</v>
      </c>
      <c r="G38" s="5">
        <f t="shared" si="8"/>
        <v>395571.13986816001</v>
      </c>
      <c r="H38" s="5">
        <f t="shared" si="8"/>
        <v>401434.42782965756</v>
      </c>
      <c r="I38" s="5">
        <f t="shared" si="8"/>
        <v>407374.01885366783</v>
      </c>
      <c r="J38" s="5">
        <f t="shared" ref="J38:AG38" si="9">J36*J35</f>
        <v>413390.61974750657</v>
      </c>
      <c r="K38" s="5">
        <f t="shared" si="9"/>
        <v>419484.93506955751</v>
      </c>
      <c r="L38" s="5">
        <f t="shared" si="9"/>
        <v>425657.66675659147</v>
      </c>
      <c r="M38" s="5">
        <f t="shared" si="9"/>
        <v>431909.51373707887</v>
      </c>
      <c r="N38" s="5">
        <f t="shared" si="9"/>
        <v>438241.17153008323</v>
      </c>
      <c r="O38" s="5">
        <f t="shared" si="9"/>
        <v>444653.3318293129</v>
      </c>
      <c r="P38" s="5">
        <f t="shared" si="9"/>
        <v>451146.6820718997</v>
      </c>
      <c r="Q38" s="5">
        <f t="shared" si="9"/>
        <v>457721.90499145823</v>
      </c>
      <c r="R38" s="5">
        <f t="shared" si="9"/>
        <v>464379.67815497034</v>
      </c>
      <c r="S38" s="5">
        <f t="shared" si="9"/>
        <v>471120.67348302639</v>
      </c>
      <c r="T38" s="5">
        <f t="shared" si="9"/>
        <v>477945.55675294262</v>
      </c>
      <c r="U38" s="5">
        <f t="shared" si="9"/>
        <v>484854.98708426236</v>
      </c>
      <c r="V38" s="5">
        <f t="shared" si="9"/>
        <v>491849.61640613363</v>
      </c>
      <c r="W38" s="5">
        <f t="shared" si="9"/>
        <v>498930.08890604606</v>
      </c>
      <c r="X38" s="5">
        <f t="shared" si="9"/>
        <v>506097.04045939259</v>
      </c>
      <c r="Y38" s="5">
        <f t="shared" si="9"/>
        <v>513351.09803931054</v>
      </c>
      <c r="Z38" s="5">
        <f t="shared" si="9"/>
        <v>520692.87910624145</v>
      </c>
      <c r="AA38" s="5">
        <f t="shared" si="9"/>
        <v>528122.99097663374</v>
      </c>
      <c r="AB38" s="5">
        <f t="shared" si="9"/>
        <v>535642.03017019946</v>
      </c>
      <c r="AC38" s="5">
        <f t="shared" si="9"/>
        <v>543250.58173511713</v>
      </c>
      <c r="AD38" s="5">
        <f t="shared" si="9"/>
        <v>550949.21855056332</v>
      </c>
      <c r="AE38" s="5">
        <f t="shared" si="9"/>
        <v>558738.50060593337</v>
      </c>
      <c r="AF38" s="5">
        <f t="shared" si="9"/>
        <v>566618.97425609804</v>
      </c>
      <c r="AG38" s="5">
        <f t="shared" si="9"/>
        <v>574591.17145202681</v>
      </c>
    </row>
    <row r="39" spans="1:33" x14ac:dyDescent="0.2">
      <c r="A39" s="27" t="s">
        <v>73</v>
      </c>
      <c r="B39" s="31">
        <f t="shared" ref="B39:C39" si="10">B38-SUM(B30:B32)</f>
        <v>-265200</v>
      </c>
      <c r="C39" s="5">
        <f t="shared" si="10"/>
        <v>-3100000</v>
      </c>
      <c r="D39" s="33">
        <f>D38-SUM(D30:D32) + D37</f>
        <v>1270932</v>
      </c>
      <c r="E39" s="5">
        <f t="shared" ref="E39:AG39" si="11">E38-SUM(E30:E32)</f>
        <v>346195.63679999998</v>
      </c>
      <c r="F39" s="5">
        <f t="shared" si="11"/>
        <v>351529.69627200003</v>
      </c>
      <c r="G39" s="5">
        <f t="shared" si="11"/>
        <v>356934.85236816003</v>
      </c>
      <c r="H39" s="5">
        <f t="shared" si="11"/>
        <v>362411.7774546576</v>
      </c>
      <c r="I39" s="5">
        <f t="shared" si="11"/>
        <v>367961.14197491785</v>
      </c>
      <c r="J39" s="5">
        <f t="shared" si="11"/>
        <v>373583.61409996904</v>
      </c>
      <c r="K39" s="5">
        <f t="shared" si="11"/>
        <v>379279.85936554463</v>
      </c>
      <c r="L39" s="5">
        <f t="shared" si="11"/>
        <v>385050.54029553843</v>
      </c>
      <c r="M39" s="5">
        <f t="shared" si="11"/>
        <v>390896.31601141533</v>
      </c>
      <c r="N39" s="5">
        <f t="shared" si="11"/>
        <v>396817.84182716307</v>
      </c>
      <c r="O39" s="5">
        <f t="shared" si="11"/>
        <v>402815.76882936351</v>
      </c>
      <c r="P39" s="5">
        <f t="shared" si="11"/>
        <v>408890.74344195082</v>
      </c>
      <c r="Q39" s="5">
        <f t="shared" si="11"/>
        <v>415043.40697520989</v>
      </c>
      <c r="R39" s="5">
        <f t="shared" si="11"/>
        <v>421274.39515855949</v>
      </c>
      <c r="S39" s="5">
        <f t="shared" si="11"/>
        <v>427584.33765665145</v>
      </c>
      <c r="T39" s="5">
        <f t="shared" si="11"/>
        <v>433973.85756830394</v>
      </c>
      <c r="U39" s="5">
        <f t="shared" si="11"/>
        <v>440443.57090777729</v>
      </c>
      <c r="V39" s="5">
        <f t="shared" si="11"/>
        <v>446994.08606788371</v>
      </c>
      <c r="W39" s="5">
        <f t="shared" si="11"/>
        <v>453626.00326441362</v>
      </c>
      <c r="X39" s="5">
        <f t="shared" si="11"/>
        <v>460339.91396134382</v>
      </c>
      <c r="Y39" s="5">
        <f t="shared" si="11"/>
        <v>467136.40027628129</v>
      </c>
      <c r="Z39" s="5">
        <f t="shared" si="11"/>
        <v>474016.03436558193</v>
      </c>
      <c r="AA39" s="5">
        <f t="shared" si="11"/>
        <v>480979.37778856762</v>
      </c>
      <c r="AB39" s="5">
        <f t="shared" si="11"/>
        <v>488026.98085025267</v>
      </c>
      <c r="AC39" s="5">
        <f t="shared" si="11"/>
        <v>495159.38192197087</v>
      </c>
      <c r="AD39" s="5">
        <f t="shared" si="11"/>
        <v>502377.10673928558</v>
      </c>
      <c r="AE39" s="5">
        <f t="shared" si="11"/>
        <v>509680.66767654289</v>
      </c>
      <c r="AF39" s="5">
        <f t="shared" si="11"/>
        <v>517070.56299741362</v>
      </c>
      <c r="AG39" s="5">
        <f t="shared" si="11"/>
        <v>524547.27608075552</v>
      </c>
    </row>
    <row r="40" spans="1:33" x14ac:dyDescent="0.2">
      <c r="A40" s="27"/>
    </row>
    <row r="41" spans="1:33" x14ac:dyDescent="0.2">
      <c r="A41" s="27" t="s">
        <v>5</v>
      </c>
      <c r="B41" s="32">
        <f>F2*F3*F4*F5*F6</f>
        <v>0.41827298521449396</v>
      </c>
      <c r="C41" s="32">
        <v>1</v>
      </c>
      <c r="D41" s="32">
        <v>1</v>
      </c>
      <c r="E41" s="32">
        <v>1</v>
      </c>
      <c r="F41" s="32">
        <v>1</v>
      </c>
      <c r="G41" s="32">
        <v>1</v>
      </c>
      <c r="H41" s="32">
        <v>1</v>
      </c>
      <c r="I41" s="32">
        <v>1</v>
      </c>
      <c r="J41" s="32">
        <v>1</v>
      </c>
      <c r="K41" s="32">
        <v>1</v>
      </c>
      <c r="L41" s="32">
        <v>1</v>
      </c>
      <c r="M41" s="32">
        <v>1</v>
      </c>
      <c r="N41" s="32">
        <v>1</v>
      </c>
      <c r="O41" s="32">
        <v>1</v>
      </c>
      <c r="P41" s="32">
        <v>1</v>
      </c>
      <c r="Q41" s="32">
        <v>1</v>
      </c>
      <c r="R41" s="32">
        <v>1</v>
      </c>
      <c r="S41" s="32">
        <v>1</v>
      </c>
      <c r="T41" s="32">
        <v>1</v>
      </c>
      <c r="U41" s="32">
        <v>1</v>
      </c>
      <c r="V41" s="32">
        <v>1</v>
      </c>
      <c r="W41" s="32">
        <v>1</v>
      </c>
      <c r="X41" s="32">
        <v>1</v>
      </c>
      <c r="Y41" s="32">
        <v>1</v>
      </c>
      <c r="Z41" s="32">
        <v>1</v>
      </c>
      <c r="AA41" s="32">
        <v>1</v>
      </c>
      <c r="AB41" s="32">
        <v>1</v>
      </c>
      <c r="AC41" s="32">
        <v>1</v>
      </c>
      <c r="AD41" s="32">
        <v>1</v>
      </c>
      <c r="AE41" s="32">
        <v>1</v>
      </c>
      <c r="AF41" s="32">
        <v>1</v>
      </c>
      <c r="AG41" s="32">
        <v>1</v>
      </c>
    </row>
    <row r="42" spans="1:33" x14ac:dyDescent="0.2">
      <c r="A42" s="27" t="s">
        <v>74</v>
      </c>
      <c r="B42" s="32">
        <v>1</v>
      </c>
      <c r="C42" s="32">
        <f t="shared" ref="C42:AG42" si="12">B42*B41</f>
        <v>0.41827298521449396</v>
      </c>
      <c r="D42" s="32">
        <f t="shared" si="12"/>
        <v>0.41827298521449396</v>
      </c>
      <c r="E42" s="32">
        <f t="shared" si="12"/>
        <v>0.41827298521449396</v>
      </c>
      <c r="F42" s="32">
        <f t="shared" si="12"/>
        <v>0.41827298521449396</v>
      </c>
      <c r="G42" s="32">
        <f t="shared" si="12"/>
        <v>0.41827298521449396</v>
      </c>
      <c r="H42" s="32">
        <f t="shared" si="12"/>
        <v>0.41827298521449396</v>
      </c>
      <c r="I42" s="32">
        <f t="shared" si="12"/>
        <v>0.41827298521449396</v>
      </c>
      <c r="J42" s="32">
        <f t="shared" si="12"/>
        <v>0.41827298521449396</v>
      </c>
      <c r="K42" s="32">
        <f t="shared" si="12"/>
        <v>0.41827298521449396</v>
      </c>
      <c r="L42" s="32">
        <f t="shared" si="12"/>
        <v>0.41827298521449396</v>
      </c>
      <c r="M42" s="32">
        <f t="shared" si="12"/>
        <v>0.41827298521449396</v>
      </c>
      <c r="N42" s="32">
        <f t="shared" si="12"/>
        <v>0.41827298521449396</v>
      </c>
      <c r="O42" s="32">
        <f t="shared" si="12"/>
        <v>0.41827298521449396</v>
      </c>
      <c r="P42" s="32">
        <f t="shared" si="12"/>
        <v>0.41827298521449396</v>
      </c>
      <c r="Q42" s="32">
        <f t="shared" si="12"/>
        <v>0.41827298521449396</v>
      </c>
      <c r="R42" s="32">
        <f t="shared" si="12"/>
        <v>0.41827298521449396</v>
      </c>
      <c r="S42" s="32">
        <f t="shared" si="12"/>
        <v>0.41827298521449396</v>
      </c>
      <c r="T42" s="32">
        <f t="shared" si="12"/>
        <v>0.41827298521449396</v>
      </c>
      <c r="U42" s="32">
        <f t="shared" si="12"/>
        <v>0.41827298521449396</v>
      </c>
      <c r="V42" s="32">
        <f t="shared" si="12"/>
        <v>0.41827298521449396</v>
      </c>
      <c r="W42" s="32">
        <f t="shared" si="12"/>
        <v>0.41827298521449396</v>
      </c>
      <c r="X42" s="32">
        <f t="shared" si="12"/>
        <v>0.41827298521449396</v>
      </c>
      <c r="Y42" s="32">
        <f t="shared" si="12"/>
        <v>0.41827298521449396</v>
      </c>
      <c r="Z42" s="32">
        <f t="shared" si="12"/>
        <v>0.41827298521449396</v>
      </c>
      <c r="AA42" s="32">
        <f t="shared" si="12"/>
        <v>0.41827298521449396</v>
      </c>
      <c r="AB42" s="32">
        <f t="shared" si="12"/>
        <v>0.41827298521449396</v>
      </c>
      <c r="AC42" s="32">
        <f t="shared" si="12"/>
        <v>0.41827298521449396</v>
      </c>
      <c r="AD42" s="32">
        <f t="shared" si="12"/>
        <v>0.41827298521449396</v>
      </c>
      <c r="AE42" s="32">
        <f t="shared" si="12"/>
        <v>0.41827298521449396</v>
      </c>
      <c r="AF42" s="32">
        <f t="shared" si="12"/>
        <v>0.41827298521449396</v>
      </c>
      <c r="AG42" s="32">
        <f t="shared" si="12"/>
        <v>0.41827298521449396</v>
      </c>
    </row>
    <row r="43" spans="1:33" x14ac:dyDescent="0.2">
      <c r="A43" s="27" t="s">
        <v>75</v>
      </c>
      <c r="B43" s="31">
        <f t="shared" ref="B43:AG43" si="13">B42*B39</f>
        <v>-265200</v>
      </c>
      <c r="C43" s="5">
        <f t="shared" si="13"/>
        <v>-1296646.2541649314</v>
      </c>
      <c r="D43" s="34">
        <f t="shared" si="13"/>
        <v>531596.52164462721</v>
      </c>
      <c r="E43" s="5">
        <f t="shared" si="13"/>
        <v>144804.28247256871</v>
      </c>
      <c r="F43" s="5">
        <f t="shared" si="13"/>
        <v>147035.37545123382</v>
      </c>
      <c r="G43" s="5">
        <f t="shared" si="13"/>
        <v>149296.20622712499</v>
      </c>
      <c r="H43" s="5">
        <f t="shared" si="13"/>
        <v>151587.05603285047</v>
      </c>
      <c r="I43" s="5">
        <f t="shared" si="13"/>
        <v>153908.20529678313</v>
      </c>
      <c r="J43" s="5">
        <f t="shared" si="13"/>
        <v>156259.93349681358</v>
      </c>
      <c r="K43" s="5">
        <f t="shared" si="13"/>
        <v>158642.51900855979</v>
      </c>
      <c r="L43" s="5">
        <f t="shared" si="13"/>
        <v>161056.23894786867</v>
      </c>
      <c r="M43" s="5">
        <f t="shared" si="13"/>
        <v>163501.36900744287</v>
      </c>
      <c r="N43" s="5">
        <f t="shared" si="13"/>
        <v>165978.18328742037</v>
      </c>
      <c r="O43" s="5">
        <f t="shared" si="13"/>
        <v>168486.95411972937</v>
      </c>
      <c r="P43" s="5">
        <f t="shared" si="13"/>
        <v>171027.95188603853</v>
      </c>
      <c r="Q43" s="5">
        <f t="shared" si="13"/>
        <v>173601.44482911518</v>
      </c>
      <c r="R43" s="5">
        <f t="shared" si="13"/>
        <v>176207.69885740103</v>
      </c>
      <c r="S43" s="5">
        <f t="shared" si="13"/>
        <v>178846.97734260975</v>
      </c>
      <c r="T43" s="5">
        <f t="shared" si="13"/>
        <v>181519.5409101441</v>
      </c>
      <c r="U43" s="5">
        <f t="shared" si="13"/>
        <v>184225.64722212765</v>
      </c>
      <c r="V43" s="5">
        <f t="shared" si="13"/>
        <v>186965.55075283817</v>
      </c>
      <c r="W43" s="5">
        <f t="shared" si="13"/>
        <v>189739.50255632607</v>
      </c>
      <c r="X43" s="5">
        <f t="shared" si="13"/>
        <v>192547.75002599458</v>
      </c>
      <c r="Y43" s="5">
        <f t="shared" si="13"/>
        <v>195390.53664591294</v>
      </c>
      <c r="Z43" s="5">
        <f t="shared" si="13"/>
        <v>198268.10173362811</v>
      </c>
      <c r="AA43" s="5">
        <f t="shared" si="13"/>
        <v>201180.68017423406</v>
      </c>
      <c r="AB43" s="5">
        <f t="shared" si="13"/>
        <v>204128.50214545187</v>
      </c>
      <c r="AC43" s="5">
        <f t="shared" si="13"/>
        <v>207111.79283346649</v>
      </c>
      <c r="AD43" s="5">
        <f t="shared" si="13"/>
        <v>210130.77213926145</v>
      </c>
      <c r="AE43" s="5">
        <f t="shared" si="13"/>
        <v>213185.65437518404</v>
      </c>
      <c r="AF43" s="5">
        <f t="shared" si="13"/>
        <v>216276.64795146725</v>
      </c>
      <c r="AG43" s="5">
        <f t="shared" si="13"/>
        <v>219403.95505242894</v>
      </c>
    </row>
    <row r="45" spans="1:33" x14ac:dyDescent="0.2">
      <c r="A45" s="35" t="s">
        <v>76</v>
      </c>
      <c r="B45" s="36">
        <f>IRR(B43:AG43)</f>
        <v>0.1240438280727667</v>
      </c>
    </row>
    <row r="46" spans="1:33" x14ac:dyDescent="0.2">
      <c r="A46" s="37" t="s">
        <v>77</v>
      </c>
      <c r="B46" s="38">
        <f>C42</f>
        <v>0.41827298521449396</v>
      </c>
    </row>
    <row r="47" spans="1:33" x14ac:dyDescent="0.2">
      <c r="A47" s="39" t="s">
        <v>78</v>
      </c>
      <c r="B47" s="40">
        <f>IRR(B39:AF39)</f>
        <v>0.14264964464414498</v>
      </c>
    </row>
    <row r="49" spans="1:2" x14ac:dyDescent="0.2">
      <c r="A49" s="45"/>
      <c r="B49" s="43"/>
    </row>
  </sheetData>
  <mergeCells count="3">
    <mergeCell ref="H1:K1"/>
    <mergeCell ref="B26:N26"/>
    <mergeCell ref="A49:B49"/>
  </mergeCells>
  <conditionalFormatting sqref="E2:E6">
    <cfRule type="colorScale" priority="1">
      <colorScale>
        <cfvo type="formula" val="1"/>
        <cfvo type="percentile" val="50"/>
        <cfvo type="formula" val="15"/>
        <color rgb="FF57BB8A"/>
        <color rgb="FFFFD666"/>
        <color rgb="FFE67C73"/>
      </colorScale>
    </cfRule>
  </conditionalFormatting>
  <dataValidations count="2">
    <dataValidation type="list" allowBlank="1" showErrorMessage="1" sqref="I5" xr:uid="{6040DE27-507B-C549-8589-8C0331E023A8}">
      <formula1>"PPA,Wholesale Market,Community Solar"</formula1>
    </dataValidation>
    <dataValidation type="list" allowBlank="1" showErrorMessage="1" sqref="B2:B6" xr:uid="{F1BBA4A6-DF38-B240-8B43-69BB7B8BF5DC}">
      <formula1>"Low,High"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Oort</dc:creator>
  <cp:lastModifiedBy>Alex Oort</cp:lastModifiedBy>
  <dcterms:created xsi:type="dcterms:W3CDTF">2025-04-10T11:10:13Z</dcterms:created>
  <dcterms:modified xsi:type="dcterms:W3CDTF">2025-04-11T08:36:41Z</dcterms:modified>
</cp:coreProperties>
</file>