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p\Documents\Github\pols551_kenya\cost_analysis\"/>
    </mc:Choice>
  </mc:AlternateContent>
  <bookViews>
    <workbookView xWindow="0" yWindow="0" windowWidth="23040" windowHeight="9045" activeTab="1" xr2:uid="{BACBB8B8-5C97-41F5-A70A-8FFF76E14303}"/>
  </bookViews>
  <sheets>
    <sheet name="Summary" sheetId="1" r:id="rId1"/>
    <sheet name="BRT" sheetId="2" r:id="rId2"/>
    <sheet name="Sheet2" sheetId="5" r:id="rId3"/>
    <sheet name="Cycling" sheetId="3" r:id="rId4"/>
    <sheet name="Bike Share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2" l="1"/>
  <c r="R2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7" i="2"/>
  <c r="P6" i="4"/>
  <c r="P7" i="4"/>
  <c r="P8" i="4"/>
  <c r="P9" i="4"/>
  <c r="P10" i="4"/>
  <c r="P14" i="4"/>
  <c r="P15" i="4"/>
  <c r="P18" i="4"/>
  <c r="P21" i="4"/>
  <c r="P22" i="4"/>
  <c r="P4" i="4"/>
  <c r="N28" i="2"/>
  <c r="F13" i="3"/>
  <c r="J36" i="4"/>
  <c r="J28" i="4"/>
  <c r="J29" i="4"/>
  <c r="J30" i="4"/>
  <c r="J31" i="4"/>
  <c r="J27" i="4"/>
  <c r="L28" i="2"/>
  <c r="K28" i="2"/>
  <c r="Z25" i="2"/>
  <c r="J28" i="2"/>
  <c r="K9" i="2"/>
  <c r="J25" i="2"/>
  <c r="K6" i="2"/>
  <c r="K7" i="2"/>
  <c r="K26" i="2" s="1"/>
  <c r="K8" i="2"/>
  <c r="K11" i="2"/>
  <c r="K14" i="2"/>
  <c r="K15" i="2"/>
  <c r="K18" i="2"/>
  <c r="K19" i="2"/>
  <c r="K20" i="2"/>
  <c r="K22" i="2"/>
  <c r="K5" i="2"/>
  <c r="N12" i="2"/>
  <c r="N29" i="2" s="1"/>
  <c r="N13" i="2"/>
  <c r="N15" i="2"/>
  <c r="N17" i="2"/>
  <c r="N19" i="2"/>
  <c r="N10" i="2"/>
  <c r="N9" i="2"/>
  <c r="N5" i="2"/>
  <c r="K21" i="4"/>
  <c r="I36" i="4"/>
  <c r="I28" i="4"/>
  <c r="I29" i="4"/>
  <c r="I30" i="4"/>
  <c r="I31" i="4"/>
  <c r="I27" i="4"/>
  <c r="H28" i="4"/>
  <c r="H29" i="4"/>
  <c r="H30" i="4"/>
  <c r="H31" i="4"/>
  <c r="H27" i="4"/>
  <c r="O22" i="4"/>
  <c r="O21" i="4"/>
  <c r="G17" i="4"/>
  <c r="G16" i="4"/>
  <c r="G7" i="4"/>
  <c r="G8" i="4"/>
  <c r="G9" i="4"/>
  <c r="G10" i="4"/>
  <c r="G11" i="4"/>
  <c r="G12" i="4"/>
  <c r="G13" i="4"/>
  <c r="G14" i="4"/>
  <c r="G6" i="4"/>
  <c r="K25" i="2" l="1"/>
  <c r="E11" i="3"/>
  <c r="F11" i="3" s="1"/>
  <c r="I11" i="3"/>
  <c r="F6" i="3"/>
  <c r="G6" i="3"/>
  <c r="F7" i="3"/>
  <c r="G7" i="3"/>
  <c r="G5" i="3"/>
  <c r="F5" i="3"/>
  <c r="M17" i="2"/>
  <c r="L17" i="2"/>
  <c r="Q25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7" i="2"/>
  <c r="M25" i="2" l="1"/>
  <c r="M19" i="2"/>
  <c r="L19" i="2"/>
  <c r="M15" i="2"/>
  <c r="M13" i="2"/>
  <c r="M12" i="2"/>
  <c r="M10" i="2"/>
  <c r="M9" i="2"/>
  <c r="M5" i="2"/>
  <c r="H11" i="3"/>
  <c r="D12" i="1" l="1"/>
  <c r="D8" i="1"/>
  <c r="D11" i="1" s="1"/>
  <c r="L12" i="2"/>
  <c r="L9" i="2"/>
  <c r="L10" i="2"/>
  <c r="L13" i="2"/>
  <c r="L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Pawlowski, Alex E.</author>
  </authors>
  <commentList>
    <comment ref="J19" authorId="0" shapeId="0" xr:uid="{3505DBE4-CE97-4A13-B9B1-546B717B3F82}">
      <text>
        <r>
          <rPr>
            <b/>
            <sz val="9"/>
            <color indexed="81"/>
            <rFont val="Tahoma"/>
            <charset val="1"/>
          </rPr>
          <t>Pawlowski, Alex E.:</t>
        </r>
        <r>
          <rPr>
            <sz val="9"/>
            <color indexed="81"/>
            <rFont val="Tahoma"/>
            <charset val="1"/>
          </rPr>
          <t xml:space="preserve">
http://onlinepubs.trb.org/onlinepubs/tcrp/tcrp90v1_cs/Bogota.pdf</t>
        </r>
      </text>
    </comment>
  </commentList>
</comments>
</file>

<file path=xl/sharedStrings.xml><?xml version="1.0" encoding="utf-8"?>
<sst xmlns="http://schemas.openxmlformats.org/spreadsheetml/2006/main" count="173" uniqueCount="137">
  <si>
    <t>Alternatives</t>
  </si>
  <si>
    <t>Description</t>
  </si>
  <si>
    <t>BRT</t>
  </si>
  <si>
    <t>Cycling Infrastructure</t>
  </si>
  <si>
    <t>GV phase in EV out</t>
  </si>
  <si>
    <t>Congestion Chargin</t>
  </si>
  <si>
    <t>Innercity / Intracity Rail</t>
  </si>
  <si>
    <t>Cost_to_build_per_km</t>
  </si>
  <si>
    <t>Project</t>
  </si>
  <si>
    <t>Stations</t>
  </si>
  <si>
    <t>Source</t>
  </si>
  <si>
    <t>Red Line All-Electric BRT</t>
  </si>
  <si>
    <t>EV</t>
  </si>
  <si>
    <t>transit.dot.gov</t>
  </si>
  <si>
    <t>Bus_length</t>
  </si>
  <si>
    <t>Bus_n</t>
  </si>
  <si>
    <t>headway_day</t>
  </si>
  <si>
    <t>headway_evening</t>
  </si>
  <si>
    <t>sides_of_street</t>
  </si>
  <si>
    <t>Large Bumps</t>
  </si>
  <si>
    <t>Cost_per_mile_per_side_low</t>
  </si>
  <si>
    <t>Cost_per_mile_per_side_high</t>
  </si>
  <si>
    <t>Reorient Parking to separate lanes</t>
  </si>
  <si>
    <t>Cast in Place Barrier Curb</t>
  </si>
  <si>
    <t>source</t>
  </si>
  <si>
    <t>https://www.dropbox.com/s/8xjavoxfh2rtz3z/Cycle%20Track%20Barrier%20Selection%20Matrix.xlsx?dl=0</t>
  </si>
  <si>
    <t>Distance_km</t>
  </si>
  <si>
    <t>BRT Sunway Line</t>
  </si>
  <si>
    <t>Bus_manuf</t>
  </si>
  <si>
    <t>Proterra</t>
  </si>
  <si>
    <t>BYD</t>
  </si>
  <si>
    <t>Operating_Cost_Annual_USD</t>
  </si>
  <si>
    <t>634,000,000 RM</t>
  </si>
  <si>
    <t>ridership_daily</t>
  </si>
  <si>
    <t>Yichang BRT</t>
  </si>
  <si>
    <t>Move</t>
  </si>
  <si>
    <t>TransMilenio</t>
  </si>
  <si>
    <t>Rea Vaya</t>
  </si>
  <si>
    <t>Barranquilla</t>
  </si>
  <si>
    <t>Guadalajara</t>
  </si>
  <si>
    <t>Bucaramanga</t>
  </si>
  <si>
    <t>Pereira</t>
  </si>
  <si>
    <t>Santiago</t>
  </si>
  <si>
    <t>Leon</t>
  </si>
  <si>
    <t>Porto Alegre</t>
  </si>
  <si>
    <t>Lima</t>
  </si>
  <si>
    <t>Mexico City</t>
  </si>
  <si>
    <t>Fare_Box_Recovery_pct_operating</t>
  </si>
  <si>
    <t>Empresa Publica</t>
  </si>
  <si>
    <t>https://brtdata.org/location/latin_america/brazil/porto_alegre</t>
  </si>
  <si>
    <t>https://brtdata.org/location/latin_america/mexico/mexico_city</t>
  </si>
  <si>
    <t>Cape Town</t>
  </si>
  <si>
    <t>DART BRT</t>
  </si>
  <si>
    <t>Fare_Revenue_Annual</t>
  </si>
  <si>
    <t>Region</t>
  </si>
  <si>
    <t>North America</t>
  </si>
  <si>
    <t>East Africa</t>
  </si>
  <si>
    <t>Latin America</t>
  </si>
  <si>
    <t>Southern Africa</t>
  </si>
  <si>
    <t>East Asia</t>
  </si>
  <si>
    <t>Southeast Asia</t>
  </si>
  <si>
    <t>City</t>
  </si>
  <si>
    <t>Country</t>
  </si>
  <si>
    <t>USA</t>
  </si>
  <si>
    <t>MYS</t>
  </si>
  <si>
    <t>CHN</t>
  </si>
  <si>
    <t>BRA</t>
  </si>
  <si>
    <t>ZAF</t>
  </si>
  <si>
    <t>PER</t>
  </si>
  <si>
    <t>COL</t>
  </si>
  <si>
    <t>MEX</t>
  </si>
  <si>
    <t>TZA</t>
  </si>
  <si>
    <t>Johannesburg</t>
  </si>
  <si>
    <t>Belo Horizonte</t>
  </si>
  <si>
    <t>Yichange</t>
  </si>
  <si>
    <t>Petaling Jaya</t>
  </si>
  <si>
    <t>Indianapolis</t>
  </si>
  <si>
    <t>In_Service</t>
  </si>
  <si>
    <t>CNG</t>
  </si>
  <si>
    <t>CHL</t>
  </si>
  <si>
    <t>Optibús</t>
  </si>
  <si>
    <t>Bogota</t>
  </si>
  <si>
    <t>Dar es Salaam</t>
  </si>
  <si>
    <t>Metrobús</t>
  </si>
  <si>
    <t>ETRC</t>
  </si>
  <si>
    <t>Megabús</t>
  </si>
  <si>
    <t>Metrolinea</t>
  </si>
  <si>
    <t>Macrobús</t>
  </si>
  <si>
    <t>West Africa</t>
  </si>
  <si>
    <t>Lagos</t>
  </si>
  <si>
    <t>NGA</t>
  </si>
  <si>
    <t>Lagos BRT</t>
  </si>
  <si>
    <t>MyCiti</t>
  </si>
  <si>
    <t>257300000 $ equipment ocst</t>
  </si>
  <si>
    <t>Diesel_Hybrid</t>
  </si>
  <si>
    <t>Golden Dragon</t>
  </si>
  <si>
    <t>Infastructure_Cost_per_km</t>
  </si>
  <si>
    <t>Operating_Cost_per_km</t>
  </si>
  <si>
    <t>Fare_Revenue_per_km</t>
  </si>
  <si>
    <t>Infrastructure_cost_per_km_low</t>
  </si>
  <si>
    <t>Infrastructure_cost_per_km_high</t>
  </si>
  <si>
    <t>Operating Cost per Trip</t>
  </si>
  <si>
    <t>Station Density</t>
  </si>
  <si>
    <t>Barcelona</t>
  </si>
  <si>
    <t>London</t>
  </si>
  <si>
    <t>Denver</t>
  </si>
  <si>
    <t>Boston</t>
  </si>
  <si>
    <t>Washington DC</t>
  </si>
  <si>
    <t>Minneapolis</t>
  </si>
  <si>
    <t>Montreal</t>
  </si>
  <si>
    <t>Lyon</t>
  </si>
  <si>
    <t>Operating Cost per km</t>
  </si>
  <si>
    <t>Washington</t>
  </si>
  <si>
    <t>Paris</t>
  </si>
  <si>
    <t>Madison</t>
  </si>
  <si>
    <t>Boulder</t>
  </si>
  <si>
    <t>Mexico Cit</t>
  </si>
  <si>
    <t>Rio de Janeiro</t>
  </si>
  <si>
    <t>Buenos Aires</t>
  </si>
  <si>
    <t>New York City</t>
  </si>
  <si>
    <t>Trips per 1,000 Residents</t>
  </si>
  <si>
    <t>Trips per Bike</t>
  </si>
  <si>
    <t>Bikes per 1,000 Residents</t>
  </si>
  <si>
    <t>San Antonio</t>
  </si>
  <si>
    <t>km_per_trip</t>
  </si>
  <si>
    <t>people_per_bus_ride</t>
  </si>
  <si>
    <t>Capital Costs</t>
  </si>
  <si>
    <t>bikes</t>
  </si>
  <si>
    <t>docks</t>
  </si>
  <si>
    <t>operating cost year 2</t>
  </si>
  <si>
    <t>capital + operating cost year 1</t>
  </si>
  <si>
    <t>est capital cost</t>
  </si>
  <si>
    <t>capital_cost_per_bike</t>
  </si>
  <si>
    <t>Operating_Cost_per_km_person</t>
  </si>
  <si>
    <t>Infastructure_Cost_per_km_per_pax</t>
  </si>
  <si>
    <t>capital_cost_per_trip</t>
  </si>
  <si>
    <t>Fare_Revenue_per_km_per_pax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</si>
</sst>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1" applyNumberFormat="1" applyFont="1"/>
    <xf numFmtId="0" fontId="2" fillId="0" borderId="0" xfId="2"/>
    <xf numFmtId="1" fontId="0" fillId="0" borderId="0" xfId="0" applyNumberFormat="1"/>
    <xf numFmtId="1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Alignment="1"/>
    <xf numFmtId="44" fontId="0" fillId="0" borderId="0" xfId="1" applyFont="1"/>
    <xf numFmtId="16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'Bike Share'!$I$26</c:f>
              <c:strCache>
                <c:ptCount val="1"/>
                <c:pt idx="0">
                  <c:v>capital_cost_per_bike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8662639426725626E-2"/>
                  <c:y val="-0.23256489095511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'Bike Share'!$D$27:$D$31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'Bike Share'!$I$27:$I$31</c:f>
              <c:numCache>
                <c:formatCode>General</c:formatCode>
                <c:ptCount val="5"/>
                <c:pt idx="0">
                  <c:v>6290</c:v>
                </c:pt>
                <c:pt idx="1">
                  <c:v>5661.125</c:v>
                </c:pt>
                <c:pt idx="2">
                  <c:v>5283.7</c:v>
                </c:pt>
                <c:pt idx="3">
                  <c:v>5032.166666666667</c:v>
                </c:pt>
                <c:pt idx="4">
                  <c:v>4852.5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4-48B7-B977-9C13CE7D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0584"/>
        <c:axId val="414135176"/>
      </c:scatterChart>
      <c:valAx>
        <c:axId val="41413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5176"/>
        <c:crosses val="autoZero"/>
        <c:crossBetween val="midCat"/>
      </c:valAx>
      <c:valAx>
        <c:axId val="4141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'Bike Share'!$E$26</c:f>
              <c:strCache>
                <c:ptCount val="1"/>
                <c:pt idx="0">
                  <c:v>docks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9755030621172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'Bike Share'!$D$27:$D$31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'Bike Share'!$E$27:$E$31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D-4871-B0A7-3CCA9B8E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06632"/>
        <c:axId val="629108600"/>
      </c:scatterChart>
      <c:valAx>
        <c:axId val="62910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8600"/>
        <c:crosses val="autoZero"/>
        <c:crossBetween val="midCat"/>
      </c:valAx>
      <c:valAx>
        <c:axId val="62910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340518</xdr:colOff>
      <xdr:row>25</xdr:row>
      <xdr:rowOff>92868</xdr:rowOff>
    </xdr:from>
    <xdr:to>
      <xdr:col>18</xdr:col>
      <xdr:colOff>411955</xdr:colOff>
      <xdr:row>40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A2A95-4A95-46F7-8E20-379260561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250030</xdr:colOff>
      <xdr:row>35</xdr:row>
      <xdr:rowOff>54768</xdr:rowOff>
    </xdr:from>
    <xdr:to>
      <xdr:col>6</xdr:col>
      <xdr:colOff>783430</xdr:colOff>
      <xdr:row>50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02A6D-F0E9-4CD1-BFC9-5D3EBB50C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/8xjavoxfh2rtz3z/Cycle%20Track%20Barrier%20Selection%20Matrix.xlsx?dl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091E-DA89-48E9-A2EB-75CE5B04220E}">
  <dimension ref="B7:D12"/>
  <sheetViews>
    <sheetView workbookViewId="0">
      <selection activeCell="G26" sqref="G26"/>
    </sheetView>
  </sheetViews>
  <sheetFormatPr defaultRowHeight="14.25" x14ac:dyDescent="0.45"/>
  <cols>
    <col min="3" max="3" width="20.19921875" bestFit="1" customWidth="1"/>
    <col min="4" max="4" width="19.6640625" bestFit="1" customWidth="1"/>
    <col min="5" max="5" width="10.6640625" bestFit="1" customWidth="1"/>
    <col min="7" max="7" width="16.796875" bestFit="1" customWidth="1"/>
    <col min="8" max="8" width="17.796875" bestFit="1" customWidth="1"/>
    <col min="9" max="9" width="19.86328125" bestFit="1" customWidth="1"/>
    <col min="10" max="10" width="18.53125" bestFit="1" customWidth="1"/>
  </cols>
  <sheetData>
    <row r="7" spans="2:4" x14ac:dyDescent="0.45">
      <c r="B7" t="s">
        <v>0</v>
      </c>
      <c r="C7" t="s">
        <v>1</v>
      </c>
      <c r="D7" t="s">
        <v>7</v>
      </c>
    </row>
    <row r="8" spans="2:4" x14ac:dyDescent="0.45">
      <c r="B8">
        <v>1</v>
      </c>
      <c r="C8" t="s">
        <v>2</v>
      </c>
      <c r="D8">
        <f>BRT!J25</f>
        <v>4315000</v>
      </c>
    </row>
    <row r="9" spans="2:4" x14ac:dyDescent="0.45">
      <c r="B9">
        <v>2</v>
      </c>
      <c r="C9" t="s">
        <v>4</v>
      </c>
      <c r="D9">
        <v>0</v>
      </c>
    </row>
    <row r="10" spans="2:4" x14ac:dyDescent="0.45">
      <c r="B10">
        <v>3</v>
      </c>
      <c r="C10" t="s">
        <v>5</v>
      </c>
    </row>
    <row r="11" spans="2:4" x14ac:dyDescent="0.45">
      <c r="B11">
        <v>4</v>
      </c>
      <c r="C11" t="s">
        <v>6</v>
      </c>
      <c r="D11">
        <f>2*D8</f>
        <v>8630000</v>
      </c>
    </row>
    <row r="12" spans="2:4" x14ac:dyDescent="0.45">
      <c r="B12">
        <v>5</v>
      </c>
      <c r="C12" t="s">
        <v>3</v>
      </c>
      <c r="D12">
        <f>Cycling!E11*0.62*2</f>
        <v>169466.66666666666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84F3-C67F-40AA-A84F-F74B5DF6D161}">
  <dimension ref="A4:AB29"/>
  <sheetViews>
    <sheetView tabSelected="1" topLeftCell="A2" zoomScale="130" zoomScaleNormal="130" workbookViewId="0">
      <pane xSplit="3" topLeftCell="N1" activePane="topRight" state="frozen"/>
      <selection pane="topRight" activeCell="O24" sqref="O24"/>
    </sheetView>
  </sheetViews>
  <sheetFormatPr defaultRowHeight="14.25" x14ac:dyDescent="0.45"/>
  <cols>
    <col min="1" max="1" width="6.796875" bestFit="1" customWidth="1"/>
    <col min="2" max="2" width="14" customWidth="1"/>
    <col min="3" max="5" width="20.86328125" customWidth="1"/>
    <col min="6" max="6" width="5.796875" bestFit="1" customWidth="1"/>
    <col min="7" max="9" width="5.796875" customWidth="1"/>
    <col min="10" max="10" width="19.6640625" bestFit="1" customWidth="1"/>
    <col min="11" max="11" width="19.6640625" customWidth="1"/>
    <col min="12" max="12" width="25.86328125" bestFit="1" customWidth="1"/>
    <col min="13" max="14" width="25.86328125" customWidth="1"/>
    <col min="15" max="18" width="13.86328125" customWidth="1"/>
    <col min="19" max="19" width="11" customWidth="1"/>
  </cols>
  <sheetData>
    <row r="4" spans="1:28" x14ac:dyDescent="0.45">
      <c r="A4" t="s">
        <v>8</v>
      </c>
      <c r="B4" t="s">
        <v>1</v>
      </c>
      <c r="C4" t="s">
        <v>61</v>
      </c>
      <c r="D4" t="s">
        <v>62</v>
      </c>
      <c r="E4" t="s">
        <v>54</v>
      </c>
      <c r="F4" t="s">
        <v>12</v>
      </c>
      <c r="G4" t="s">
        <v>78</v>
      </c>
      <c r="H4" t="s">
        <v>94</v>
      </c>
      <c r="I4" t="s">
        <v>77</v>
      </c>
      <c r="J4" t="s">
        <v>96</v>
      </c>
      <c r="K4" t="s">
        <v>134</v>
      </c>
      <c r="L4" t="s">
        <v>31</v>
      </c>
      <c r="M4" t="s">
        <v>97</v>
      </c>
      <c r="N4" t="s">
        <v>133</v>
      </c>
      <c r="O4" t="s">
        <v>47</v>
      </c>
      <c r="P4" t="s">
        <v>53</v>
      </c>
      <c r="Q4" t="s">
        <v>98</v>
      </c>
      <c r="R4" t="s">
        <v>136</v>
      </c>
      <c r="S4" t="s">
        <v>26</v>
      </c>
      <c r="T4" t="s">
        <v>9</v>
      </c>
      <c r="U4" t="s">
        <v>15</v>
      </c>
      <c r="V4" t="s">
        <v>14</v>
      </c>
      <c r="W4" t="s">
        <v>10</v>
      </c>
      <c r="X4" t="s">
        <v>16</v>
      </c>
      <c r="Y4" t="s">
        <v>17</v>
      </c>
      <c r="Z4" t="s">
        <v>33</v>
      </c>
      <c r="AA4" t="s">
        <v>28</v>
      </c>
    </row>
    <row r="5" spans="1:28" x14ac:dyDescent="0.45">
      <c r="A5">
        <v>1</v>
      </c>
      <c r="B5" t="s">
        <v>11</v>
      </c>
      <c r="C5" t="s">
        <v>76</v>
      </c>
      <c r="D5" t="s">
        <v>63</v>
      </c>
      <c r="E5" t="s">
        <v>55</v>
      </c>
      <c r="F5" t="b">
        <v>1</v>
      </c>
      <c r="G5" t="b">
        <v>0</v>
      </c>
      <c r="H5" t="b">
        <v>0</v>
      </c>
      <c r="I5" t="b">
        <v>0</v>
      </c>
      <c r="J5" s="1">
        <v>4569734</v>
      </c>
      <c r="K5" s="1">
        <f>J5/Z5</f>
        <v>617.53162162162164</v>
      </c>
      <c r="L5" s="1">
        <v>6170000</v>
      </c>
      <c r="M5" s="4">
        <f>L5/S5</f>
        <v>292694.49715370021</v>
      </c>
      <c r="N5" s="11">
        <f>M5/Z5</f>
        <v>39.553310426175706</v>
      </c>
      <c r="O5" s="1">
        <v>0.3</v>
      </c>
      <c r="P5" s="1"/>
      <c r="Q5" s="1"/>
      <c r="R5" s="1"/>
      <c r="S5">
        <v>21.08</v>
      </c>
      <c r="T5">
        <v>28</v>
      </c>
      <c r="U5">
        <v>12</v>
      </c>
      <c r="V5">
        <v>60</v>
      </c>
      <c r="W5" t="s">
        <v>13</v>
      </c>
      <c r="X5">
        <v>10</v>
      </c>
      <c r="Y5">
        <v>30</v>
      </c>
      <c r="Z5">
        <v>7400</v>
      </c>
      <c r="AA5" t="s">
        <v>29</v>
      </c>
    </row>
    <row r="6" spans="1:28" x14ac:dyDescent="0.45">
      <c r="A6">
        <v>2</v>
      </c>
      <c r="B6" t="s">
        <v>27</v>
      </c>
      <c r="C6" t="s">
        <v>75</v>
      </c>
      <c r="D6" t="s">
        <v>64</v>
      </c>
      <c r="E6" t="s">
        <v>60</v>
      </c>
      <c r="F6" t="b">
        <v>1</v>
      </c>
      <c r="G6" t="b">
        <v>0</v>
      </c>
      <c r="H6" t="b">
        <v>0</v>
      </c>
      <c r="I6" t="b">
        <v>1</v>
      </c>
      <c r="J6">
        <v>31350000</v>
      </c>
      <c r="K6" s="1">
        <f>J6/Z6</f>
        <v>5824.9721293199555</v>
      </c>
      <c r="M6" s="3"/>
      <c r="N6" s="6"/>
      <c r="S6">
        <v>5.4</v>
      </c>
      <c r="T6">
        <v>5</v>
      </c>
      <c r="U6">
        <v>15</v>
      </c>
      <c r="Z6">
        <v>5382</v>
      </c>
      <c r="AA6" t="s">
        <v>30</v>
      </c>
      <c r="AB6" t="s">
        <v>32</v>
      </c>
    </row>
    <row r="7" spans="1:28" x14ac:dyDescent="0.45">
      <c r="A7">
        <v>3</v>
      </c>
      <c r="B7" t="s">
        <v>34</v>
      </c>
      <c r="C7" t="s">
        <v>74</v>
      </c>
      <c r="D7" t="s">
        <v>65</v>
      </c>
      <c r="E7" t="s">
        <v>59</v>
      </c>
      <c r="F7" t="b">
        <v>0</v>
      </c>
      <c r="G7" t="b">
        <v>1</v>
      </c>
      <c r="H7" t="b">
        <v>0</v>
      </c>
      <c r="I7" t="b">
        <v>1</v>
      </c>
      <c r="J7">
        <v>555000</v>
      </c>
      <c r="K7" s="11">
        <f>J7/Z7</f>
        <v>2.3125</v>
      </c>
      <c r="M7" s="3"/>
      <c r="N7" s="6"/>
      <c r="P7">
        <v>15110000</v>
      </c>
      <c r="Q7" s="3">
        <f>P7/S7</f>
        <v>1162307.6923076923</v>
      </c>
      <c r="R7" s="5">
        <f>Q7/Z7</f>
        <v>4.8429487179487181</v>
      </c>
      <c r="S7">
        <v>13</v>
      </c>
      <c r="T7">
        <v>22</v>
      </c>
      <c r="U7">
        <v>200</v>
      </c>
      <c r="Z7">
        <v>240000</v>
      </c>
    </row>
    <row r="8" spans="1:28" x14ac:dyDescent="0.45">
      <c r="A8">
        <v>4</v>
      </c>
      <c r="B8" t="s">
        <v>35</v>
      </c>
      <c r="C8" t="s">
        <v>73</v>
      </c>
      <c r="D8" t="s">
        <v>66</v>
      </c>
      <c r="E8" t="s">
        <v>57</v>
      </c>
      <c r="F8" t="b">
        <v>0</v>
      </c>
      <c r="G8" t="b">
        <v>0</v>
      </c>
      <c r="I8" t="b">
        <v>1</v>
      </c>
      <c r="J8">
        <v>11700000</v>
      </c>
      <c r="K8" s="11">
        <f>J8/Z8</f>
        <v>11.170794768630881</v>
      </c>
      <c r="M8" s="3"/>
      <c r="N8" s="6"/>
      <c r="P8">
        <v>271500000</v>
      </c>
      <c r="Q8" s="3">
        <f t="shared" ref="Q8:Q22" si="0">P8/S8</f>
        <v>6908396.9465648858</v>
      </c>
      <c r="R8" s="5">
        <f t="shared" ref="R8:R22" si="1">Q8/Z8</f>
        <v>6.5959217495993654</v>
      </c>
      <c r="S8">
        <v>39.299999999999997</v>
      </c>
      <c r="T8">
        <v>82</v>
      </c>
      <c r="U8">
        <v>3066</v>
      </c>
      <c r="Z8">
        <v>1047374</v>
      </c>
      <c r="AB8" t="s">
        <v>93</v>
      </c>
    </row>
    <row r="9" spans="1:28" x14ac:dyDescent="0.45">
      <c r="A9">
        <v>5</v>
      </c>
      <c r="B9" t="s">
        <v>37</v>
      </c>
      <c r="C9" t="s">
        <v>72</v>
      </c>
      <c r="D9" t="s">
        <v>67</v>
      </c>
      <c r="E9" t="s">
        <v>58</v>
      </c>
      <c r="F9" t="b">
        <v>0</v>
      </c>
      <c r="G9" t="b">
        <v>0</v>
      </c>
      <c r="I9" t="b">
        <v>1</v>
      </c>
      <c r="J9">
        <v>11980000</v>
      </c>
      <c r="K9" s="11">
        <f>J9/Z9</f>
        <v>285.23809523809524</v>
      </c>
      <c r="L9">
        <f>1/O9*P9</f>
        <v>23343750</v>
      </c>
      <c r="M9" s="4">
        <f>L9/S9</f>
        <v>536637.93103448278</v>
      </c>
      <c r="N9" s="11">
        <f>M9/Z9</f>
        <v>12.777093596059114</v>
      </c>
      <c r="O9">
        <v>0.32</v>
      </c>
      <c r="P9">
        <v>7470000</v>
      </c>
      <c r="Q9" s="3">
        <f t="shared" si="0"/>
        <v>171724.13793103449</v>
      </c>
      <c r="R9" s="5">
        <f t="shared" si="1"/>
        <v>4.0886699507389164</v>
      </c>
      <c r="S9">
        <v>43.5</v>
      </c>
      <c r="T9">
        <v>13</v>
      </c>
      <c r="U9">
        <v>277</v>
      </c>
      <c r="Z9">
        <v>42000</v>
      </c>
    </row>
    <row r="10" spans="1:28" x14ac:dyDescent="0.45">
      <c r="A10">
        <v>6</v>
      </c>
      <c r="B10" t="s">
        <v>38</v>
      </c>
      <c r="C10" t="s">
        <v>38</v>
      </c>
      <c r="D10" t="s">
        <v>69</v>
      </c>
      <c r="E10" t="s">
        <v>57</v>
      </c>
      <c r="F10" t="b">
        <v>0</v>
      </c>
      <c r="G10" t="b">
        <v>0</v>
      </c>
      <c r="I10" t="b">
        <v>1</v>
      </c>
      <c r="K10" s="11"/>
      <c r="L10" s="3">
        <f>1/O10*P10</f>
        <v>16386363.636363639</v>
      </c>
      <c r="M10" s="4">
        <f>L10/S10</f>
        <v>1170454.5454545456</v>
      </c>
      <c r="N10" s="11">
        <f>M10/Z10</f>
        <v>12.722332015810279</v>
      </c>
      <c r="O10">
        <v>0.88</v>
      </c>
      <c r="P10">
        <v>14420000</v>
      </c>
      <c r="Q10" s="3">
        <f t="shared" si="0"/>
        <v>1030000</v>
      </c>
      <c r="R10" s="5">
        <f t="shared" si="1"/>
        <v>11.195652173913043</v>
      </c>
      <c r="S10">
        <v>14</v>
      </c>
      <c r="T10">
        <v>15</v>
      </c>
      <c r="U10">
        <v>39</v>
      </c>
      <c r="Z10">
        <v>92000</v>
      </c>
    </row>
    <row r="11" spans="1:28" x14ac:dyDescent="0.45">
      <c r="A11">
        <v>7</v>
      </c>
      <c r="B11" t="s">
        <v>87</v>
      </c>
      <c r="C11" t="s">
        <v>39</v>
      </c>
      <c r="D11" t="s">
        <v>70</v>
      </c>
      <c r="E11" t="s">
        <v>57</v>
      </c>
      <c r="F11" t="b">
        <v>0</v>
      </c>
      <c r="G11" t="b">
        <v>0</v>
      </c>
      <c r="I11" t="b">
        <v>1</v>
      </c>
      <c r="J11">
        <v>2900000</v>
      </c>
      <c r="K11" s="11">
        <f>J11/Z11</f>
        <v>22.834645669291337</v>
      </c>
      <c r="M11" s="3"/>
      <c r="N11" s="11"/>
      <c r="P11">
        <v>9940000</v>
      </c>
      <c r="Q11" s="3">
        <f t="shared" si="0"/>
        <v>621250</v>
      </c>
      <c r="R11" s="5">
        <f t="shared" si="1"/>
        <v>4.8917322834645667</v>
      </c>
      <c r="S11">
        <v>16</v>
      </c>
      <c r="T11">
        <v>27</v>
      </c>
      <c r="U11">
        <v>41</v>
      </c>
      <c r="Z11">
        <v>127000</v>
      </c>
    </row>
    <row r="12" spans="1:28" x14ac:dyDescent="0.45">
      <c r="A12">
        <v>8</v>
      </c>
      <c r="B12" t="s">
        <v>86</v>
      </c>
      <c r="C12" t="s">
        <v>40</v>
      </c>
      <c r="D12" t="s">
        <v>69</v>
      </c>
      <c r="E12" t="s">
        <v>57</v>
      </c>
      <c r="F12" t="b">
        <v>0</v>
      </c>
      <c r="G12" t="b">
        <v>0</v>
      </c>
      <c r="I12" t="b">
        <v>1</v>
      </c>
      <c r="K12" s="11"/>
      <c r="L12">
        <f>1/O12*P12</f>
        <v>8226562.5</v>
      </c>
      <c r="M12" s="4">
        <f>L12/S12</f>
        <v>919168.99441340787</v>
      </c>
      <c r="N12" s="11">
        <f>M12/Z12</f>
        <v>12.766236033519554</v>
      </c>
      <c r="O12">
        <v>1.28</v>
      </c>
      <c r="P12">
        <v>10530000</v>
      </c>
      <c r="Q12" s="3">
        <f t="shared" si="0"/>
        <v>1176536.3128491621</v>
      </c>
      <c r="R12" s="5">
        <f t="shared" si="1"/>
        <v>16.340782122905029</v>
      </c>
      <c r="S12">
        <v>8.9499999999999993</v>
      </c>
      <c r="T12">
        <v>17</v>
      </c>
      <c r="U12">
        <v>131</v>
      </c>
      <c r="Z12">
        <v>72000</v>
      </c>
    </row>
    <row r="13" spans="1:28" x14ac:dyDescent="0.45">
      <c r="A13">
        <v>9</v>
      </c>
      <c r="B13" t="s">
        <v>85</v>
      </c>
      <c r="C13" t="s">
        <v>41</v>
      </c>
      <c r="D13" t="s">
        <v>69</v>
      </c>
      <c r="E13" t="s">
        <v>57</v>
      </c>
      <c r="F13" t="b">
        <v>0</v>
      </c>
      <c r="G13" t="b">
        <v>0</v>
      </c>
      <c r="I13" t="b">
        <v>1</v>
      </c>
      <c r="K13" s="11"/>
      <c r="L13" s="3">
        <f>1/O13*P13</f>
        <v>16957746.478873242</v>
      </c>
      <c r="M13" s="4">
        <f>L13/S13</f>
        <v>1094048.159927306</v>
      </c>
      <c r="N13" s="11">
        <f>M13/Z13</f>
        <v>11.396334999242772</v>
      </c>
      <c r="O13">
        <v>0.71</v>
      </c>
      <c r="P13">
        <v>12040000</v>
      </c>
      <c r="Q13" s="3">
        <f t="shared" si="0"/>
        <v>776774.19354838715</v>
      </c>
      <c r="R13" s="5">
        <f t="shared" si="1"/>
        <v>8.091397849462366</v>
      </c>
      <c r="S13">
        <v>15.5</v>
      </c>
      <c r="T13">
        <v>28</v>
      </c>
      <c r="U13">
        <v>49</v>
      </c>
      <c r="Z13">
        <v>96000</v>
      </c>
    </row>
    <row r="14" spans="1:28" x14ac:dyDescent="0.45">
      <c r="A14">
        <v>10</v>
      </c>
      <c r="B14" t="s">
        <v>42</v>
      </c>
      <c r="C14" t="s">
        <v>42</v>
      </c>
      <c r="D14" t="s">
        <v>79</v>
      </c>
      <c r="E14" t="s">
        <v>57</v>
      </c>
      <c r="F14" t="b">
        <v>0</v>
      </c>
      <c r="G14" t="b">
        <v>0</v>
      </c>
      <c r="I14" t="b">
        <v>1</v>
      </c>
      <c r="J14">
        <v>5730000</v>
      </c>
      <c r="K14" s="11">
        <f>J14/Z14</f>
        <v>16.81338028169014</v>
      </c>
      <c r="L14" s="3"/>
      <c r="M14" s="3"/>
      <c r="N14" s="11"/>
      <c r="P14">
        <v>69440000</v>
      </c>
      <c r="Q14" s="3">
        <f t="shared" si="0"/>
        <v>770271.76927343314</v>
      </c>
      <c r="R14" s="5">
        <f t="shared" si="1"/>
        <v>2.2601871164126561</v>
      </c>
      <c r="S14">
        <v>90.15</v>
      </c>
      <c r="T14">
        <v>127</v>
      </c>
      <c r="Z14">
        <v>340800</v>
      </c>
    </row>
    <row r="15" spans="1:28" x14ac:dyDescent="0.45">
      <c r="A15">
        <v>11</v>
      </c>
      <c r="B15" t="s">
        <v>80</v>
      </c>
      <c r="C15" t="s">
        <v>43</v>
      </c>
      <c r="D15" t="s">
        <v>70</v>
      </c>
      <c r="E15" t="s">
        <v>57</v>
      </c>
      <c r="F15" t="b">
        <v>0</v>
      </c>
      <c r="G15" t="b">
        <v>0</v>
      </c>
      <c r="I15" t="b">
        <v>1</v>
      </c>
      <c r="J15">
        <v>1078000</v>
      </c>
      <c r="K15" s="11">
        <f>J15/Z15</f>
        <v>4.8888888888888893</v>
      </c>
      <c r="L15" s="3">
        <f>1/O15*P15</f>
        <v>22168539.325842697</v>
      </c>
      <c r="M15" s="4">
        <f>L15/S15</f>
        <v>697123.87817115395</v>
      </c>
      <c r="N15" s="11">
        <f>M15/Z15</f>
        <v>3.1615595381911743</v>
      </c>
      <c r="O15">
        <v>0.89</v>
      </c>
      <c r="P15">
        <v>19730000</v>
      </c>
      <c r="Q15" s="3">
        <f t="shared" si="0"/>
        <v>620440.25157232699</v>
      </c>
      <c r="R15" s="5">
        <f t="shared" si="1"/>
        <v>2.8137879889901449</v>
      </c>
      <c r="S15">
        <v>31.8</v>
      </c>
      <c r="T15">
        <v>61</v>
      </c>
      <c r="U15">
        <v>618</v>
      </c>
      <c r="Z15">
        <v>220500</v>
      </c>
    </row>
    <row r="16" spans="1:28" x14ac:dyDescent="0.45">
      <c r="A16">
        <v>12</v>
      </c>
      <c r="B16" t="s">
        <v>48</v>
      </c>
      <c r="C16" t="s">
        <v>44</v>
      </c>
      <c r="D16" t="s">
        <v>66</v>
      </c>
      <c r="E16" t="s">
        <v>57</v>
      </c>
      <c r="F16" t="b">
        <v>0</v>
      </c>
      <c r="G16" t="b">
        <v>0</v>
      </c>
      <c r="H16" t="b">
        <v>0</v>
      </c>
      <c r="I16" t="b">
        <v>1</v>
      </c>
      <c r="K16" s="11"/>
      <c r="M16" s="3"/>
      <c r="N16" s="11"/>
      <c r="P16">
        <v>139980000</v>
      </c>
      <c r="Q16" s="3">
        <f t="shared" si="0"/>
        <v>2372542.3728813562</v>
      </c>
      <c r="R16" s="5">
        <f t="shared" si="1"/>
        <v>4.3935969868173261</v>
      </c>
      <c r="S16">
        <v>59</v>
      </c>
      <c r="T16">
        <v>111</v>
      </c>
      <c r="W16" t="s">
        <v>49</v>
      </c>
      <c r="Z16">
        <v>540000</v>
      </c>
    </row>
    <row r="17" spans="1:27" x14ac:dyDescent="0.45">
      <c r="A17">
        <v>13</v>
      </c>
      <c r="B17" t="s">
        <v>84</v>
      </c>
      <c r="C17" t="s">
        <v>45</v>
      </c>
      <c r="D17" t="s">
        <v>68</v>
      </c>
      <c r="E17" t="s">
        <v>57</v>
      </c>
      <c r="F17" t="b">
        <v>0</v>
      </c>
      <c r="G17" t="b">
        <v>1</v>
      </c>
      <c r="I17" t="b">
        <v>1</v>
      </c>
      <c r="K17" s="11"/>
      <c r="L17" s="3">
        <f>1/O17*P17</f>
        <v>47391304.347826093</v>
      </c>
      <c r="M17" s="4">
        <f>L17/S17</f>
        <v>1822742.4749163883</v>
      </c>
      <c r="N17" s="11">
        <f>M17/Z17</f>
        <v>5.2078356426182522</v>
      </c>
      <c r="O17">
        <v>1.1499999999999999</v>
      </c>
      <c r="P17">
        <v>54500000</v>
      </c>
      <c r="Q17" s="3">
        <f t="shared" si="0"/>
        <v>2096153.8461538462</v>
      </c>
      <c r="R17" s="5">
        <f t="shared" si="1"/>
        <v>5.9890109890109891</v>
      </c>
      <c r="S17">
        <v>26</v>
      </c>
      <c r="T17">
        <v>36</v>
      </c>
      <c r="U17">
        <v>487</v>
      </c>
      <c r="Z17">
        <v>350000</v>
      </c>
    </row>
    <row r="18" spans="1:27" x14ac:dyDescent="0.45">
      <c r="A18">
        <v>14</v>
      </c>
      <c r="B18" t="s">
        <v>83</v>
      </c>
      <c r="C18" t="s">
        <v>46</v>
      </c>
      <c r="D18" t="s">
        <v>70</v>
      </c>
      <c r="E18" t="s">
        <v>57</v>
      </c>
      <c r="F18" t="b">
        <v>0</v>
      </c>
      <c r="G18" t="b">
        <v>0</v>
      </c>
      <c r="H18" t="b">
        <v>1</v>
      </c>
      <c r="I18" t="b">
        <v>1</v>
      </c>
      <c r="J18">
        <v>2880000</v>
      </c>
      <c r="K18" s="11">
        <f>J18/Z18</f>
        <v>2.6181818181818182</v>
      </c>
      <c r="M18" s="3"/>
      <c r="N18" s="11"/>
      <c r="P18">
        <v>73800000</v>
      </c>
      <c r="Q18" s="3">
        <f t="shared" si="0"/>
        <v>590400</v>
      </c>
      <c r="R18" s="5">
        <f t="shared" si="1"/>
        <v>0.53672727272727272</v>
      </c>
      <c r="S18">
        <v>125</v>
      </c>
      <c r="T18">
        <v>188</v>
      </c>
      <c r="U18">
        <v>548</v>
      </c>
      <c r="W18" t="s">
        <v>50</v>
      </c>
      <c r="Z18">
        <v>1100000</v>
      </c>
    </row>
    <row r="19" spans="1:27" x14ac:dyDescent="0.45">
      <c r="A19">
        <v>15</v>
      </c>
      <c r="B19" t="s">
        <v>36</v>
      </c>
      <c r="C19" t="s">
        <v>81</v>
      </c>
      <c r="D19" t="s">
        <v>69</v>
      </c>
      <c r="E19" t="s">
        <v>57</v>
      </c>
      <c r="F19" t="b">
        <v>0</v>
      </c>
      <c r="G19" t="b">
        <v>0</v>
      </c>
      <c r="H19" t="b">
        <v>0</v>
      </c>
      <c r="I19" t="b">
        <v>1</v>
      </c>
      <c r="J19">
        <v>5900000</v>
      </c>
      <c r="K19" s="11">
        <f>J19/Z19</f>
        <v>2.6657798806814998</v>
      </c>
      <c r="L19" s="3">
        <f>1/O19*P19</f>
        <v>224264957.26495728</v>
      </c>
      <c r="M19" s="4">
        <f>L19/S19</f>
        <v>1984645.6395128963</v>
      </c>
      <c r="N19" s="11">
        <f>M19/Z19</f>
        <v>0.89671668069419452</v>
      </c>
      <c r="O19">
        <v>1.17</v>
      </c>
      <c r="P19" s="3">
        <v>262390000</v>
      </c>
      <c r="Q19" s="3">
        <f t="shared" si="0"/>
        <v>2322035.3982300884</v>
      </c>
      <c r="R19" s="5">
        <f t="shared" si="1"/>
        <v>1.0491585164122075</v>
      </c>
      <c r="S19">
        <v>113</v>
      </c>
      <c r="T19">
        <v>149</v>
      </c>
      <c r="U19">
        <v>410</v>
      </c>
      <c r="X19">
        <v>3</v>
      </c>
      <c r="Y19">
        <v>3</v>
      </c>
      <c r="Z19">
        <v>2213236</v>
      </c>
    </row>
    <row r="20" spans="1:27" x14ac:dyDescent="0.45">
      <c r="A20">
        <v>16</v>
      </c>
      <c r="B20" t="s">
        <v>52</v>
      </c>
      <c r="C20" t="s">
        <v>82</v>
      </c>
      <c r="D20" t="s">
        <v>71</v>
      </c>
      <c r="E20" t="s">
        <v>56</v>
      </c>
      <c r="F20" t="b">
        <v>0</v>
      </c>
      <c r="G20" t="b">
        <v>0</v>
      </c>
      <c r="H20" t="b">
        <v>0</v>
      </c>
      <c r="I20" t="b">
        <v>1</v>
      </c>
      <c r="J20">
        <v>6900000</v>
      </c>
      <c r="K20" s="11">
        <f>J20/Z20</f>
        <v>43.125</v>
      </c>
      <c r="N20" s="4"/>
      <c r="P20">
        <v>9990000</v>
      </c>
      <c r="Q20" s="3">
        <f t="shared" si="0"/>
        <v>473459.71563981037</v>
      </c>
      <c r="R20" s="5">
        <f t="shared" si="1"/>
        <v>2.9591232227488149</v>
      </c>
      <c r="S20">
        <v>21.1</v>
      </c>
      <c r="T20">
        <v>27</v>
      </c>
      <c r="U20">
        <v>140</v>
      </c>
      <c r="Z20">
        <v>160000</v>
      </c>
      <c r="AA20" t="s">
        <v>95</v>
      </c>
    </row>
    <row r="21" spans="1:27" x14ac:dyDescent="0.45">
      <c r="A21">
        <v>17</v>
      </c>
      <c r="B21" t="s">
        <v>92</v>
      </c>
      <c r="C21" t="s">
        <v>51</v>
      </c>
      <c r="D21" t="s">
        <v>67</v>
      </c>
      <c r="E21" t="s">
        <v>58</v>
      </c>
      <c r="F21" t="b">
        <v>0</v>
      </c>
      <c r="I21" t="b">
        <v>1</v>
      </c>
      <c r="K21" s="11"/>
      <c r="N21" s="4"/>
      <c r="P21">
        <v>24970000</v>
      </c>
      <c r="Q21" s="3">
        <f t="shared" si="0"/>
        <v>810188.18948734587</v>
      </c>
      <c r="R21" s="5">
        <f t="shared" si="1"/>
        <v>12.242560813069991</v>
      </c>
      <c r="S21">
        <v>30.82</v>
      </c>
      <c r="T21">
        <v>30</v>
      </c>
      <c r="U21">
        <v>310</v>
      </c>
      <c r="Z21">
        <v>66178</v>
      </c>
    </row>
    <row r="22" spans="1:27" x14ac:dyDescent="0.45">
      <c r="A22">
        <v>18</v>
      </c>
      <c r="B22" t="s">
        <v>91</v>
      </c>
      <c r="C22" t="s">
        <v>89</v>
      </c>
      <c r="D22" t="s">
        <v>90</v>
      </c>
      <c r="E22" t="s">
        <v>88</v>
      </c>
      <c r="F22" t="b">
        <v>0</v>
      </c>
      <c r="G22" t="b">
        <v>0</v>
      </c>
      <c r="I22" t="b">
        <v>1</v>
      </c>
      <c r="J22">
        <v>1700000</v>
      </c>
      <c r="K22" s="11">
        <f>J22/Z22</f>
        <v>8.5</v>
      </c>
      <c r="N22" s="4"/>
      <c r="P22">
        <v>47450000</v>
      </c>
      <c r="Q22" s="3">
        <f t="shared" si="0"/>
        <v>2156818.1818181816</v>
      </c>
      <c r="R22" s="5">
        <f t="shared" si="1"/>
        <v>10.784090909090908</v>
      </c>
      <c r="S22">
        <v>22</v>
      </c>
      <c r="T22">
        <v>28</v>
      </c>
      <c r="U22">
        <v>220</v>
      </c>
      <c r="Z22">
        <v>200000</v>
      </c>
    </row>
    <row r="23" spans="1:27" x14ac:dyDescent="0.45">
      <c r="K23" s="1"/>
      <c r="R23" s="5"/>
    </row>
    <row r="24" spans="1:27" x14ac:dyDescent="0.45">
      <c r="K24" s="1"/>
      <c r="R24" s="5"/>
    </row>
    <row r="25" spans="1:27" x14ac:dyDescent="0.45">
      <c r="J25">
        <f>MEDIAN(J7:J22)</f>
        <v>4315000</v>
      </c>
      <c r="K25" s="11">
        <f>AVERAGE(K7:K22)</f>
        <v>40.016726654545977</v>
      </c>
      <c r="L25" s="3"/>
      <c r="M25" s="3">
        <f>MEDIAN(M5:M22)</f>
        <v>1006608.5771703569</v>
      </c>
      <c r="N25" s="3"/>
      <c r="Q25" s="3">
        <f>MEDIAN(Q5:Q22)</f>
        <v>920094.09474367299</v>
      </c>
      <c r="R25" s="5">
        <f>AVERAGE(R5:R22)</f>
        <v>6.1922092914570195</v>
      </c>
      <c r="Z25">
        <f>MEDIAN(Z7:Z22)</f>
        <v>210250</v>
      </c>
    </row>
    <row r="26" spans="1:27" x14ac:dyDescent="0.45">
      <c r="K26">
        <f>_xlfn.STDEV.P(K7:K22)</f>
        <v>82.614472148005092</v>
      </c>
      <c r="R26">
        <f>_xlfn.STDEV.P(R7:R22)</f>
        <v>4.3045451492355777</v>
      </c>
    </row>
    <row r="28" spans="1:27" x14ac:dyDescent="0.45">
      <c r="J28">
        <f>2*J25</f>
        <v>8630000</v>
      </c>
      <c r="K28">
        <f>Z25*1.5</f>
        <v>315375</v>
      </c>
      <c r="L28">
        <f>J28/K28</f>
        <v>27.364248910027744</v>
      </c>
      <c r="N28" s="6">
        <f>MEDIAN(N9:N19)</f>
        <v>11.396334999242772</v>
      </c>
    </row>
    <row r="29" spans="1:27" x14ac:dyDescent="0.45">
      <c r="N29">
        <f>STDEV(N9:N19)</f>
        <v>5.1609371034813716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CF58-C68C-418F-A8C9-FDAEC4B492AF}">
  <dimension ref="A1"/>
  <sheetViews>
    <sheetView workbookViewId="0">
      <selection activeCell="E39" sqref="E39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2069-89D0-4934-AE1D-23710597A378}">
  <dimension ref="B4:I13"/>
  <sheetViews>
    <sheetView workbookViewId="0">
      <selection activeCell="F14" sqref="F14"/>
    </sheetView>
  </sheetViews>
  <sheetFormatPr defaultRowHeight="14.25" x14ac:dyDescent="0.45"/>
  <cols>
    <col min="3" max="3" width="29.19921875" bestFit="1" customWidth="1"/>
    <col min="4" max="4" width="25" bestFit="1" customWidth="1"/>
    <col min="5" max="5" width="25.46484375" bestFit="1" customWidth="1"/>
    <col min="6" max="7" width="25.46484375" customWidth="1"/>
  </cols>
  <sheetData>
    <row r="4" spans="2:9" x14ac:dyDescent="0.45">
      <c r="B4" t="s">
        <v>8</v>
      </c>
      <c r="C4" t="s">
        <v>1</v>
      </c>
      <c r="D4" t="s">
        <v>20</v>
      </c>
      <c r="E4" t="s">
        <v>21</v>
      </c>
      <c r="F4" t="s">
        <v>99</v>
      </c>
      <c r="G4" t="s">
        <v>100</v>
      </c>
      <c r="H4" t="s">
        <v>18</v>
      </c>
      <c r="I4" t="s">
        <v>24</v>
      </c>
    </row>
    <row r="5" spans="2:9" x14ac:dyDescent="0.45">
      <c r="B5">
        <v>1</v>
      </c>
      <c r="C5" t="s">
        <v>19</v>
      </c>
      <c r="D5">
        <v>50000</v>
      </c>
      <c r="E5">
        <v>90000</v>
      </c>
      <c r="F5">
        <f>D5/1.609</f>
        <v>31075.201988812929</v>
      </c>
      <c r="G5">
        <f>E5/1.609</f>
        <v>55935.363579863268</v>
      </c>
      <c r="H5">
        <v>2</v>
      </c>
      <c r="I5" s="2" t="s">
        <v>25</v>
      </c>
    </row>
    <row r="6" spans="2:9" x14ac:dyDescent="0.45">
      <c r="B6">
        <v>2</v>
      </c>
      <c r="C6" t="s">
        <v>22</v>
      </c>
      <c r="D6">
        <v>80000</v>
      </c>
      <c r="E6">
        <v>300000</v>
      </c>
      <c r="F6">
        <f t="shared" ref="F6:F7" si="0">D6/1.609</f>
        <v>49720.323182100685</v>
      </c>
      <c r="G6">
        <f t="shared" ref="G6:G7" si="1">E6/1.609</f>
        <v>186451.21193287757</v>
      </c>
      <c r="H6">
        <v>2</v>
      </c>
      <c r="I6" t="s">
        <v>25</v>
      </c>
    </row>
    <row r="7" spans="2:9" x14ac:dyDescent="0.45">
      <c r="B7">
        <v>3</v>
      </c>
      <c r="C7" t="s">
        <v>23</v>
      </c>
      <c r="D7">
        <v>100000</v>
      </c>
      <c r="E7">
        <v>200000</v>
      </c>
      <c r="F7">
        <f t="shared" si="0"/>
        <v>62150.403977625858</v>
      </c>
      <c r="G7">
        <f t="shared" si="1"/>
        <v>124300.80795525172</v>
      </c>
      <c r="H7">
        <v>2</v>
      </c>
      <c r="I7" t="s">
        <v>25</v>
      </c>
    </row>
    <row r="11" spans="2:9" x14ac:dyDescent="0.45">
      <c r="E11">
        <f>AVERAGE(D5:E7)</f>
        <v>136666.66666666666</v>
      </c>
      <c r="F11">
        <f>E11/1.609</f>
        <v>84938.885436088662</v>
      </c>
      <c r="H11">
        <f>_xlfn.STDEV.P(D5:E7)</f>
        <v>86538.366571647799</v>
      </c>
      <c r="I11">
        <f>H11/1.609</f>
        <v>53783.94441991784</v>
      </c>
    </row>
    <row r="13" spans="2:9" x14ac:dyDescent="0.45">
      <c r="F13">
        <f>F11/1000</f>
        <v>84.938885436088668</v>
      </c>
    </row>
  </sheetData>
  <hyperlinks>
    <hyperlink ref="I5" r:id="rId1" xr:uid="{7A97EDAA-9F3D-4B6F-840D-F6393A1608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45D3-E941-4E5A-86D2-6426B9A9C14D}">
  <dimension ref="D2:S36"/>
  <sheetViews>
    <sheetView zoomScaleNormal="100" workbookViewId="0">
      <selection activeCell="R5" sqref="R5"/>
    </sheetView>
  </sheetViews>
  <sheetFormatPr defaultRowHeight="14.25" x14ac:dyDescent="0.45"/>
  <cols>
    <col min="5" max="6" width="19.19921875" bestFit="1" customWidth="1"/>
    <col min="7" max="7" width="18.53125" bestFit="1" customWidth="1"/>
    <col min="10" max="10" width="11.73046875" bestFit="1" customWidth="1"/>
    <col min="15" max="15" width="13.06640625" customWidth="1"/>
  </cols>
  <sheetData>
    <row r="2" spans="4:19" x14ac:dyDescent="0.45">
      <c r="P2">
        <v>3</v>
      </c>
      <c r="Q2" t="s">
        <v>124</v>
      </c>
      <c r="R2">
        <v>30</v>
      </c>
      <c r="S2" t="s">
        <v>125</v>
      </c>
    </row>
    <row r="3" spans="4:19" x14ac:dyDescent="0.45">
      <c r="K3" t="s">
        <v>121</v>
      </c>
      <c r="L3" t="s">
        <v>120</v>
      </c>
      <c r="M3" t="s">
        <v>102</v>
      </c>
      <c r="N3" t="s">
        <v>122</v>
      </c>
      <c r="O3" s="9" t="s">
        <v>101</v>
      </c>
      <c r="P3" s="9"/>
      <c r="R3" s="9"/>
    </row>
    <row r="4" spans="4:19" x14ac:dyDescent="0.45">
      <c r="J4" t="s">
        <v>104</v>
      </c>
      <c r="K4">
        <v>3.1</v>
      </c>
      <c r="L4">
        <v>63.9</v>
      </c>
      <c r="M4">
        <v>8.4</v>
      </c>
      <c r="N4">
        <v>23.3</v>
      </c>
      <c r="O4" s="7">
        <v>4.8</v>
      </c>
      <c r="P4" s="7">
        <f>O4/$P$2</f>
        <v>1.5999999999999999</v>
      </c>
      <c r="Q4" s="7"/>
    </row>
    <row r="5" spans="4:19" x14ac:dyDescent="0.45">
      <c r="D5" t="s">
        <v>61</v>
      </c>
      <c r="E5" t="s">
        <v>102</v>
      </c>
      <c r="F5" t="s">
        <v>101</v>
      </c>
      <c r="G5" t="s">
        <v>111</v>
      </c>
      <c r="J5" t="s">
        <v>113</v>
      </c>
      <c r="K5">
        <v>6.7</v>
      </c>
      <c r="L5">
        <v>38.4</v>
      </c>
      <c r="M5">
        <v>13</v>
      </c>
      <c r="N5">
        <v>8.4</v>
      </c>
      <c r="P5" s="7"/>
      <c r="Q5" s="7"/>
    </row>
    <row r="6" spans="4:19" x14ac:dyDescent="0.45">
      <c r="D6" t="s">
        <v>103</v>
      </c>
      <c r="E6">
        <v>10.0206541107045</v>
      </c>
      <c r="F6">
        <v>0.78937354599620402</v>
      </c>
      <c r="G6">
        <f>5*F6</f>
        <v>3.9468677299810202</v>
      </c>
      <c r="J6" t="s">
        <v>103</v>
      </c>
      <c r="K6">
        <v>10.8</v>
      </c>
      <c r="L6">
        <v>67.900000000000006</v>
      </c>
      <c r="M6">
        <v>10.3</v>
      </c>
      <c r="N6">
        <v>9.1999999999999993</v>
      </c>
      <c r="O6" s="7">
        <v>0.86</v>
      </c>
      <c r="P6" s="7">
        <f t="shared" ref="P5:P22" si="0">O6/$P$2</f>
        <v>0.28666666666666668</v>
      </c>
      <c r="Q6" s="7"/>
    </row>
    <row r="7" spans="4:19" x14ac:dyDescent="0.45">
      <c r="D7" t="s">
        <v>46</v>
      </c>
      <c r="E7">
        <v>14.950321858493099</v>
      </c>
      <c r="F7">
        <v>1.2428696025838</v>
      </c>
      <c r="G7">
        <f t="shared" ref="G7:G14" si="1">5*F7</f>
        <v>6.2143480129190003</v>
      </c>
      <c r="J7" t="s">
        <v>110</v>
      </c>
      <c r="K7">
        <v>8.3000000000000007</v>
      </c>
      <c r="L7">
        <v>55.1</v>
      </c>
      <c r="M7">
        <v>7.7</v>
      </c>
      <c r="N7">
        <v>6.6</v>
      </c>
      <c r="O7" s="7">
        <v>0.86</v>
      </c>
      <c r="P7" s="7">
        <f t="shared" si="0"/>
        <v>0.28666666666666668</v>
      </c>
      <c r="Q7" s="7"/>
    </row>
    <row r="8" spans="4:19" x14ac:dyDescent="0.45">
      <c r="D8" t="s">
        <v>104</v>
      </c>
      <c r="E8">
        <v>7.9434406912804398</v>
      </c>
      <c r="F8">
        <v>4.7029876977152796</v>
      </c>
      <c r="G8">
        <f t="shared" si="1"/>
        <v>23.514938488576398</v>
      </c>
      <c r="J8" t="s">
        <v>109</v>
      </c>
      <c r="K8">
        <v>6.8</v>
      </c>
      <c r="L8">
        <v>113.8</v>
      </c>
      <c r="M8">
        <v>8.1999999999999993</v>
      </c>
      <c r="N8">
        <v>22.7</v>
      </c>
      <c r="O8" s="7">
        <v>1.27</v>
      </c>
      <c r="P8" s="7">
        <f t="shared" si="0"/>
        <v>0.42333333333333334</v>
      </c>
      <c r="Q8" s="7"/>
    </row>
    <row r="9" spans="4:19" x14ac:dyDescent="0.45">
      <c r="D9" t="s">
        <v>105</v>
      </c>
      <c r="E9">
        <v>3.93401413982718</v>
      </c>
      <c r="F9">
        <v>3.3216168717047401</v>
      </c>
      <c r="G9">
        <f t="shared" si="1"/>
        <v>16.608084358523701</v>
      </c>
      <c r="J9" t="s">
        <v>112</v>
      </c>
      <c r="K9">
        <v>2.4</v>
      </c>
      <c r="L9">
        <v>18.899999999999999</v>
      </c>
      <c r="M9">
        <v>4.2</v>
      </c>
      <c r="N9">
        <v>8.4</v>
      </c>
      <c r="O9" s="7">
        <v>1.52</v>
      </c>
      <c r="P9" s="7">
        <f t="shared" si="0"/>
        <v>0.50666666666666671</v>
      </c>
      <c r="Q9" s="7"/>
    </row>
    <row r="10" spans="4:19" x14ac:dyDescent="0.45">
      <c r="D10" t="s">
        <v>106</v>
      </c>
      <c r="E10">
        <v>3.0164964650432</v>
      </c>
      <c r="F10">
        <v>3.1634446397187999</v>
      </c>
      <c r="G10">
        <f t="shared" si="1"/>
        <v>15.817223198594</v>
      </c>
      <c r="J10" t="s">
        <v>116</v>
      </c>
      <c r="K10">
        <v>5.5</v>
      </c>
      <c r="L10">
        <v>158.19999999999999</v>
      </c>
      <c r="M10">
        <v>14.9</v>
      </c>
      <c r="N10">
        <v>35.700000000000003</v>
      </c>
      <c r="O10" s="7">
        <v>1.28</v>
      </c>
      <c r="P10" s="7">
        <f t="shared" si="0"/>
        <v>0.42666666666666669</v>
      </c>
      <c r="Q10" s="7"/>
    </row>
    <row r="11" spans="4:19" x14ac:dyDescent="0.45">
      <c r="D11" t="s">
        <v>107</v>
      </c>
      <c r="E11">
        <v>3.93401413982718</v>
      </c>
      <c r="F11">
        <v>1.56063268892794</v>
      </c>
      <c r="G11">
        <f t="shared" si="1"/>
        <v>7.8031634446397007</v>
      </c>
      <c r="J11" t="s">
        <v>117</v>
      </c>
      <c r="K11">
        <v>6.9</v>
      </c>
      <c r="L11">
        <v>44.2</v>
      </c>
      <c r="M11">
        <v>2.8</v>
      </c>
      <c r="N11">
        <v>6.4</v>
      </c>
      <c r="P11" s="7"/>
      <c r="Q11" s="7"/>
    </row>
    <row r="12" spans="4:19" x14ac:dyDescent="0.45">
      <c r="D12" t="s">
        <v>108</v>
      </c>
      <c r="E12">
        <v>1.92301649646504</v>
      </c>
      <c r="F12">
        <v>1.56063268892794</v>
      </c>
      <c r="G12">
        <f t="shared" si="1"/>
        <v>7.8031634446397007</v>
      </c>
      <c r="J12" t="s">
        <v>118</v>
      </c>
      <c r="K12">
        <v>3.8</v>
      </c>
      <c r="L12">
        <v>11.2</v>
      </c>
      <c r="M12">
        <v>1</v>
      </c>
      <c r="N12">
        <v>2.9</v>
      </c>
      <c r="P12" s="7"/>
      <c r="Q12" s="7"/>
    </row>
    <row r="13" spans="4:19" x14ac:dyDescent="0.45">
      <c r="D13" t="s">
        <v>109</v>
      </c>
      <c r="E13">
        <v>7.9434406912804398</v>
      </c>
      <c r="F13">
        <v>1.2337434094903299</v>
      </c>
      <c r="G13">
        <f t="shared" si="1"/>
        <v>6.1687170474516497</v>
      </c>
      <c r="J13" t="s">
        <v>119</v>
      </c>
      <c r="K13">
        <v>8.3000000000000007</v>
      </c>
      <c r="L13">
        <v>42.7</v>
      </c>
      <c r="M13">
        <v>10.7</v>
      </c>
      <c r="N13">
        <v>6.8</v>
      </c>
      <c r="P13" s="7"/>
      <c r="Q13" s="7"/>
    </row>
    <row r="14" spans="4:19" x14ac:dyDescent="0.45">
      <c r="D14" t="s">
        <v>110</v>
      </c>
      <c r="E14">
        <v>7.9434406912804398</v>
      </c>
      <c r="F14">
        <v>0.78031634446397102</v>
      </c>
      <c r="G14">
        <f t="shared" si="1"/>
        <v>3.9015817223198552</v>
      </c>
      <c r="J14" t="s">
        <v>105</v>
      </c>
      <c r="K14">
        <v>2.8</v>
      </c>
      <c r="L14">
        <v>39.1</v>
      </c>
      <c r="M14">
        <v>4</v>
      </c>
      <c r="N14">
        <v>22</v>
      </c>
      <c r="O14" s="7">
        <v>3.22</v>
      </c>
      <c r="P14" s="7">
        <f t="shared" si="0"/>
        <v>1.0733333333333335</v>
      </c>
      <c r="Q14" s="7"/>
    </row>
    <row r="15" spans="4:19" x14ac:dyDescent="0.45">
      <c r="J15" t="s">
        <v>108</v>
      </c>
      <c r="K15">
        <v>1.4</v>
      </c>
      <c r="L15">
        <v>10.5</v>
      </c>
      <c r="M15">
        <v>2.1</v>
      </c>
      <c r="N15">
        <v>8.1</v>
      </c>
      <c r="O15" s="7">
        <v>1.52</v>
      </c>
      <c r="P15" s="7">
        <f t="shared" si="0"/>
        <v>0.50666666666666671</v>
      </c>
      <c r="Q15" s="7"/>
    </row>
    <row r="16" spans="4:19" x14ac:dyDescent="0.45">
      <c r="G16">
        <f>AVERAGE(G6:G14)</f>
        <v>10.197565271960558</v>
      </c>
      <c r="J16" t="s">
        <v>114</v>
      </c>
      <c r="K16">
        <v>2.2000000000000002</v>
      </c>
      <c r="L16">
        <v>48.3</v>
      </c>
      <c r="M16">
        <v>3.6</v>
      </c>
      <c r="N16">
        <v>25.6</v>
      </c>
      <c r="P16" s="7"/>
      <c r="Q16" s="7"/>
    </row>
    <row r="17" spans="4:17" x14ac:dyDescent="0.45">
      <c r="G17">
        <f>_xlfn.STDEV.P(G6:G14)</f>
        <v>6.4317124568730781</v>
      </c>
      <c r="J17" t="s">
        <v>115</v>
      </c>
      <c r="K17">
        <v>1</v>
      </c>
      <c r="L17">
        <v>15.9</v>
      </c>
      <c r="M17">
        <v>9.1999999999999993</v>
      </c>
      <c r="N17">
        <v>20.8</v>
      </c>
      <c r="P17" s="7"/>
      <c r="Q17" s="7"/>
    </row>
    <row r="18" spans="4:17" x14ac:dyDescent="0.45">
      <c r="J18" t="s">
        <v>106</v>
      </c>
      <c r="K18">
        <v>4</v>
      </c>
      <c r="L18">
        <v>20.9</v>
      </c>
      <c r="M18">
        <v>3.1</v>
      </c>
      <c r="N18">
        <v>6.1</v>
      </c>
      <c r="O18" s="7">
        <v>3.09</v>
      </c>
      <c r="P18" s="7">
        <f t="shared" si="0"/>
        <v>1.03</v>
      </c>
      <c r="Q18" s="7"/>
    </row>
    <row r="19" spans="4:17" x14ac:dyDescent="0.45">
      <c r="J19" t="s">
        <v>123</v>
      </c>
      <c r="K19">
        <v>0.4</v>
      </c>
      <c r="L19">
        <v>4</v>
      </c>
      <c r="M19">
        <v>3.8</v>
      </c>
      <c r="N19">
        <v>10.6</v>
      </c>
      <c r="P19" s="7"/>
      <c r="Q19" s="7"/>
    </row>
    <row r="20" spans="4:17" x14ac:dyDescent="0.45">
      <c r="P20" s="7"/>
    </row>
    <row r="21" spans="4:17" x14ac:dyDescent="0.45">
      <c r="K21">
        <f>AVERAGE(K4:K19)</f>
        <v>4.6500000000000004</v>
      </c>
      <c r="O21" s="10">
        <f>AVERAGE(O4:O19)</f>
        <v>2.0466666666666669</v>
      </c>
      <c r="P21" s="7">
        <f t="shared" si="0"/>
        <v>0.68222222222222229</v>
      </c>
      <c r="Q21" s="10"/>
    </row>
    <row r="22" spans="4:17" x14ac:dyDescent="0.45">
      <c r="O22" s="10">
        <f>_xlfn.STDEV.P(O4:O19)</f>
        <v>1.2740225011095103</v>
      </c>
      <c r="P22" s="7">
        <f t="shared" si="0"/>
        <v>0.42467416703650346</v>
      </c>
      <c r="Q22" s="10"/>
    </row>
    <row r="25" spans="4:17" x14ac:dyDescent="0.45">
      <c r="E25" t="s">
        <v>126</v>
      </c>
    </row>
    <row r="26" spans="4:17" x14ac:dyDescent="0.45">
      <c r="D26" t="s">
        <v>127</v>
      </c>
      <c r="E26" t="s">
        <v>128</v>
      </c>
      <c r="F26" t="s">
        <v>130</v>
      </c>
      <c r="G26" t="s">
        <v>129</v>
      </c>
      <c r="H26" t="s">
        <v>131</v>
      </c>
      <c r="I26" t="s">
        <v>132</v>
      </c>
      <c r="J26" t="s">
        <v>135</v>
      </c>
      <c r="P26" s="8"/>
    </row>
    <row r="27" spans="4:17" x14ac:dyDescent="0.45">
      <c r="D27">
        <v>6</v>
      </c>
      <c r="E27">
        <v>11</v>
      </c>
      <c r="F27">
        <v>49458</v>
      </c>
      <c r="G27">
        <v>11718</v>
      </c>
      <c r="H27">
        <f>F27-G27</f>
        <v>37740</v>
      </c>
      <c r="I27">
        <f>H27/D27</f>
        <v>6290</v>
      </c>
      <c r="J27">
        <f>I27/$K$21</f>
        <v>1352.6881720430106</v>
      </c>
    </row>
    <row r="28" spans="4:17" x14ac:dyDescent="0.45">
      <c r="D28">
        <v>8</v>
      </c>
      <c r="E28">
        <v>15</v>
      </c>
      <c r="F28">
        <v>60913</v>
      </c>
      <c r="G28">
        <v>15624</v>
      </c>
      <c r="H28">
        <f t="shared" ref="H28:H31" si="2">F28-G28</f>
        <v>45289</v>
      </c>
      <c r="I28">
        <f t="shared" ref="I28:I31" si="3">H28/D28</f>
        <v>5661.125</v>
      </c>
      <c r="J28">
        <f t="shared" ref="J28:J31" si="4">I28/$K$21</f>
        <v>1217.4462365591396</v>
      </c>
      <c r="N28" s="8"/>
    </row>
    <row r="29" spans="4:17" x14ac:dyDescent="0.45">
      <c r="D29">
        <v>10</v>
      </c>
      <c r="E29">
        <v>19</v>
      </c>
      <c r="F29">
        <v>72367</v>
      </c>
      <c r="G29">
        <v>19530</v>
      </c>
      <c r="H29">
        <f t="shared" si="2"/>
        <v>52837</v>
      </c>
      <c r="I29">
        <f t="shared" si="3"/>
        <v>5283.7</v>
      </c>
      <c r="J29">
        <f t="shared" si="4"/>
        <v>1136.2795698924731</v>
      </c>
    </row>
    <row r="30" spans="4:17" x14ac:dyDescent="0.45">
      <c r="D30">
        <v>12</v>
      </c>
      <c r="E30">
        <v>23</v>
      </c>
      <c r="F30">
        <v>83822</v>
      </c>
      <c r="G30">
        <v>23436</v>
      </c>
      <c r="H30">
        <f t="shared" si="2"/>
        <v>60386</v>
      </c>
      <c r="I30">
        <f t="shared" si="3"/>
        <v>5032.166666666667</v>
      </c>
      <c r="J30">
        <f t="shared" si="4"/>
        <v>1082.1863799283153</v>
      </c>
    </row>
    <row r="31" spans="4:17" x14ac:dyDescent="0.45">
      <c r="D31">
        <v>14</v>
      </c>
      <c r="E31">
        <v>27</v>
      </c>
      <c r="F31">
        <v>95277</v>
      </c>
      <c r="G31">
        <v>27342</v>
      </c>
      <c r="H31">
        <f t="shared" si="2"/>
        <v>67935</v>
      </c>
      <c r="I31">
        <f t="shared" si="3"/>
        <v>4852.5</v>
      </c>
      <c r="J31">
        <f t="shared" si="4"/>
        <v>1043.5483870967741</v>
      </c>
    </row>
    <row r="36" spans="4:10" x14ac:dyDescent="0.45">
      <c r="D36">
        <v>45</v>
      </c>
      <c r="I36">
        <f>10794*D36^(-0.306)</f>
        <v>3367.4362640126692</v>
      </c>
      <c r="J36">
        <f>I36/K21</f>
        <v>724.1798417231546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BRT</vt:lpstr>
      <vt:lpstr>Sheet2</vt:lpstr>
      <vt:lpstr>Cycling</vt:lpstr>
      <vt:lpstr>Bike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Pawlowski, Alex E.</dc:creator>
  <cp:lastModifiedBy>Pawlowski, Alex E.</cp:lastModifiedBy>
  <dcterms:created xsi:type="dcterms:W3CDTF">2017-11-04T18:34:03Z</dcterms:created>
  <dcterms:modified xsi:type="dcterms:W3CDTF">2017-11-06T17:37:25Z</dcterms:modified>
</cp:coreProperties>
</file>