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a\Documents\Etudes Audencia\Contrôle de Gestion\"/>
    </mc:Choice>
  </mc:AlternateContent>
  <xr:revisionPtr revIDLastSave="0" documentId="13_ncr:1_{9AF3A568-8BBD-4BE9-96EC-47F0FAC43F19}" xr6:coauthVersionLast="45" xr6:coauthVersionMax="45" xr10:uidLastSave="{00000000-0000-0000-0000-000000000000}"/>
  <bookViews>
    <workbookView xWindow="1428" yWindow="1428" windowWidth="7536" windowHeight="10632" firstSheet="4" activeTab="4" xr2:uid="{ED892A6A-DD8B-47C0-B087-114CB863A195}"/>
  </bookViews>
  <sheets>
    <sheet name="CashFlow" sheetId="4" r:id="rId1"/>
    <sheet name="Budget" sheetId="7" r:id="rId2"/>
    <sheet name="Budget inversé" sheetId="18" r:id="rId3"/>
    <sheet name="Inverse Bud" sheetId="9" r:id="rId4"/>
    <sheet name="Variance" sheetId="12" r:id="rId5"/>
    <sheet name="Multiple variance" sheetId="11" r:id="rId6"/>
    <sheet name="Financial St" sheetId="10" r:id="rId7"/>
    <sheet name="CS_Ivanblast" sheetId="16" r:id="rId8"/>
    <sheet name="2019EXO1" sheetId="13" r:id="rId9"/>
    <sheet name="2019EXO2" sheetId="15" r:id="rId10"/>
    <sheet name="2019EXO3" sheetId="17" r:id="rId11"/>
    <sheet name="2018EXO1" sheetId="19" r:id="rId12"/>
    <sheet name="2018EXO2" sheetId="20" r:id="rId13"/>
    <sheet name="2018EXO3-1" sheetId="22" r:id="rId14"/>
    <sheet name="2018EXO3-2" sheetId="2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1" l="1"/>
  <c r="E10" i="11" s="1"/>
  <c r="C9" i="11"/>
  <c r="C15" i="11"/>
  <c r="E15" i="11" s="1"/>
  <c r="C14" i="11"/>
  <c r="D22" i="11" s="1"/>
  <c r="E22" i="11" s="1"/>
  <c r="C16" i="11"/>
  <c r="D6" i="11"/>
  <c r="C5" i="11"/>
  <c r="E5" i="11" s="1"/>
  <c r="C4" i="11"/>
  <c r="D19" i="11"/>
  <c r="E19" i="11" s="1"/>
  <c r="E35" i="23"/>
  <c r="D35" i="23"/>
  <c r="D20" i="23"/>
  <c r="D24" i="23"/>
  <c r="C30" i="23"/>
  <c r="E14" i="11" l="1"/>
  <c r="E17" i="11" s="1"/>
  <c r="D26" i="11"/>
  <c r="E26" i="11" s="1"/>
  <c r="F16" i="11"/>
  <c r="D27" i="11"/>
  <c r="E4" i="11"/>
  <c r="E6" i="11" s="1"/>
  <c r="C31" i="11" s="1"/>
  <c r="D23" i="11"/>
  <c r="E23" i="11" s="1"/>
  <c r="E9" i="11"/>
  <c r="E12" i="11" s="1"/>
  <c r="E27" i="11" l="1"/>
  <c r="D28" i="11"/>
  <c r="E28" i="11" s="1"/>
  <c r="D20" i="11"/>
  <c r="E20" i="11" s="1"/>
  <c r="D33" i="11"/>
  <c r="E33" i="11" s="1"/>
  <c r="F6" i="11"/>
  <c r="E31" i="11"/>
  <c r="D34" i="11" l="1"/>
  <c r="E34" i="11" s="1"/>
  <c r="C30" i="11"/>
  <c r="E30" i="11" l="1"/>
  <c r="D24" i="11"/>
  <c r="F11" i="11"/>
  <c r="E24" i="11" l="1"/>
  <c r="D35" i="11"/>
  <c r="E35" i="11" s="1"/>
  <c r="D6" i="23" l="1"/>
  <c r="D27" i="23"/>
  <c r="E27" i="23" s="1"/>
  <c r="D26" i="23"/>
  <c r="D22" i="23"/>
  <c r="E22" i="23" s="1"/>
  <c r="C16" i="23"/>
  <c r="E15" i="23"/>
  <c r="E14" i="23"/>
  <c r="D10" i="23"/>
  <c r="D23" i="23" s="1"/>
  <c r="E23" i="23" s="1"/>
  <c r="E10" i="23"/>
  <c r="D9" i="23"/>
  <c r="E9" i="23"/>
  <c r="C6" i="23"/>
  <c r="E5" i="23"/>
  <c r="E4" i="23"/>
  <c r="E16" i="23" l="1"/>
  <c r="D16" i="23" s="1"/>
  <c r="D28" i="23"/>
  <c r="E28" i="23" s="1"/>
  <c r="E6" i="23"/>
  <c r="F5" i="23" s="1"/>
  <c r="E26" i="23"/>
  <c r="F15" i="23"/>
  <c r="E11" i="23"/>
  <c r="D19" i="23"/>
  <c r="E19" i="23" s="1"/>
  <c r="F14" i="23"/>
  <c r="F16" i="23" s="1"/>
  <c r="C11" i="23"/>
  <c r="D72" i="12"/>
  <c r="E72" i="12" s="1"/>
  <c r="D69" i="12"/>
  <c r="E69" i="12" s="1"/>
  <c r="B59" i="12"/>
  <c r="E59" i="12" s="1"/>
  <c r="E58" i="12"/>
  <c r="D58" i="12"/>
  <c r="C58" i="12"/>
  <c r="B58" i="12"/>
  <c r="D55" i="12"/>
  <c r="D75" i="12" s="1"/>
  <c r="E75" i="12" s="1"/>
  <c r="B55" i="12"/>
  <c r="B56" i="12" s="1"/>
  <c r="E49" i="12"/>
  <c r="B49" i="12"/>
  <c r="D48" i="12"/>
  <c r="B48" i="12"/>
  <c r="D47" i="12"/>
  <c r="D46" i="12"/>
  <c r="D45" i="12"/>
  <c r="B39" i="12"/>
  <c r="E39" i="12" s="1"/>
  <c r="D38" i="12"/>
  <c r="D37" i="12"/>
  <c r="C37" i="12"/>
  <c r="D36" i="12"/>
  <c r="C36" i="12"/>
  <c r="D35" i="12"/>
  <c r="B29" i="12"/>
  <c r="E29" i="12" s="1"/>
  <c r="D77" i="12" s="1"/>
  <c r="E28" i="12"/>
  <c r="D28" i="12"/>
  <c r="D81" i="12" s="1"/>
  <c r="C28" i="12"/>
  <c r="B28" i="12"/>
  <c r="D27" i="12"/>
  <c r="C27" i="12"/>
  <c r="D26" i="12"/>
  <c r="C26" i="12"/>
  <c r="D25" i="12"/>
  <c r="B25" i="12"/>
  <c r="B26" i="12" s="1"/>
  <c r="I21" i="12"/>
  <c r="I20" i="12"/>
  <c r="H20" i="12"/>
  <c r="G20" i="12"/>
  <c r="I19" i="12"/>
  <c r="G19" i="12"/>
  <c r="H19" i="12" s="1"/>
  <c r="I18" i="12"/>
  <c r="G18" i="12"/>
  <c r="H18" i="12" s="1"/>
  <c r="I17" i="12"/>
  <c r="C17" i="12"/>
  <c r="I16" i="12"/>
  <c r="F16" i="12"/>
  <c r="E16" i="12" s="1"/>
  <c r="I15" i="12"/>
  <c r="F15" i="12"/>
  <c r="D57" i="12" s="1"/>
  <c r="I14" i="12"/>
  <c r="F14" i="12"/>
  <c r="C14" i="12"/>
  <c r="I13" i="12"/>
  <c r="G13" i="12"/>
  <c r="H13" i="12" s="1"/>
  <c r="I12" i="12"/>
  <c r="G12" i="12"/>
  <c r="H12" i="12" s="1"/>
  <c r="I11" i="12"/>
  <c r="I10" i="12"/>
  <c r="C10" i="12"/>
  <c r="I9" i="12"/>
  <c r="I8" i="12"/>
  <c r="C8" i="12"/>
  <c r="I7" i="12"/>
  <c r="F7" i="12"/>
  <c r="C56" i="12" s="1"/>
  <c r="I6" i="12"/>
  <c r="F6" i="12"/>
  <c r="C6" i="12"/>
  <c r="C11" i="12" s="1"/>
  <c r="I5" i="12"/>
  <c r="G5" i="12"/>
  <c r="H5" i="12" s="1"/>
  <c r="I4" i="12"/>
  <c r="D4" i="12"/>
  <c r="D6" i="12" s="1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D57" i="22"/>
  <c r="D11" i="23" l="1"/>
  <c r="E30" i="23" s="1"/>
  <c r="F10" i="23"/>
  <c r="E20" i="23"/>
  <c r="F4" i="23"/>
  <c r="F6" i="23" s="1"/>
  <c r="F9" i="23"/>
  <c r="C47" i="12"/>
  <c r="C57" i="12"/>
  <c r="D83" i="12"/>
  <c r="E77" i="12"/>
  <c r="B104" i="12"/>
  <c r="C104" i="12" s="1"/>
  <c r="E26" i="12"/>
  <c r="B27" i="12"/>
  <c r="E27" i="12" s="1"/>
  <c r="E81" i="12"/>
  <c r="B57" i="12"/>
  <c r="E57" i="12" s="1"/>
  <c r="E7" i="12"/>
  <c r="F8" i="12"/>
  <c r="B38" i="12"/>
  <c r="E4" i="12"/>
  <c r="B96" i="12"/>
  <c r="C96" i="12" s="1"/>
  <c r="G15" i="12"/>
  <c r="H15" i="12" s="1"/>
  <c r="C21" i="12"/>
  <c r="B90" i="12" s="1"/>
  <c r="G4" i="12"/>
  <c r="H4" i="12" s="1"/>
  <c r="G6" i="12"/>
  <c r="D14" i="12"/>
  <c r="F17" i="12"/>
  <c r="E25" i="12"/>
  <c r="B35" i="12"/>
  <c r="E55" i="12"/>
  <c r="B93" i="12"/>
  <c r="C38" i="12"/>
  <c r="D85" i="12" s="1"/>
  <c r="E85" i="12" s="1"/>
  <c r="G7" i="12"/>
  <c r="H7" i="12" s="1"/>
  <c r="D8" i="12"/>
  <c r="D10" i="12" s="1"/>
  <c r="D67" i="12" s="1"/>
  <c r="E24" i="23" l="1"/>
  <c r="F11" i="23"/>
  <c r="D33" i="23"/>
  <c r="C31" i="23"/>
  <c r="B94" i="12"/>
  <c r="C94" i="12" s="1"/>
  <c r="E67" i="12"/>
  <c r="B45" i="12"/>
  <c r="E14" i="12"/>
  <c r="E17" i="12" s="1"/>
  <c r="E6" i="12"/>
  <c r="C48" i="12"/>
  <c r="E48" i="12" s="1"/>
  <c r="D11" i="12"/>
  <c r="D17" i="12"/>
  <c r="G14" i="12"/>
  <c r="H14" i="12" s="1"/>
  <c r="H6" i="12"/>
  <c r="G8" i="12"/>
  <c r="H8" i="12" s="1"/>
  <c r="F9" i="12"/>
  <c r="F10" i="12"/>
  <c r="E8" i="12"/>
  <c r="E10" i="12" s="1"/>
  <c r="C46" i="12"/>
  <c r="B98" i="12"/>
  <c r="E83" i="12"/>
  <c r="C93" i="12"/>
  <c r="B92" i="12"/>
  <c r="C92" i="12" s="1"/>
  <c r="E35" i="12"/>
  <c r="B36" i="12"/>
  <c r="E38" i="12"/>
  <c r="E31" i="12"/>
  <c r="B103" i="12"/>
  <c r="C103" i="12" s="1"/>
  <c r="D80" i="12"/>
  <c r="E33" i="23" l="1"/>
  <c r="D34" i="23"/>
  <c r="E34" i="23"/>
  <c r="E31" i="23"/>
  <c r="B102" i="12"/>
  <c r="C102" i="12" s="1"/>
  <c r="E80" i="12"/>
  <c r="B46" i="12"/>
  <c r="E45" i="12"/>
  <c r="F11" i="12"/>
  <c r="G11" i="12" s="1"/>
  <c r="H11" i="12" s="1"/>
  <c r="G10" i="12"/>
  <c r="F21" i="12"/>
  <c r="G21" i="12" s="1"/>
  <c r="H21" i="12" s="1"/>
  <c r="E11" i="12"/>
  <c r="E21" i="12"/>
  <c r="G9" i="12"/>
  <c r="H9" i="12" s="1"/>
  <c r="D56" i="12"/>
  <c r="C98" i="12"/>
  <c r="B37" i="12"/>
  <c r="E36" i="12"/>
  <c r="D68" i="12"/>
  <c r="G17" i="12"/>
  <c r="H17" i="12" s="1"/>
  <c r="D21" i="12"/>
  <c r="B47" i="12" l="1"/>
  <c r="E47" i="12" s="1"/>
  <c r="E46" i="12"/>
  <c r="E51" i="12" s="1"/>
  <c r="D71" i="12"/>
  <c r="E71" i="12" s="1"/>
  <c r="H10" i="12"/>
  <c r="G22" i="12"/>
  <c r="H22" i="12" s="1"/>
  <c r="E37" i="12"/>
  <c r="E41" i="12" s="1"/>
  <c r="D66" i="12" s="1"/>
  <c r="D84" i="12"/>
  <c r="D79" i="12"/>
  <c r="E56" i="12"/>
  <c r="E61" i="12" s="1"/>
  <c r="E68" i="12"/>
  <c r="B95" i="12"/>
  <c r="C95" i="12" s="1"/>
  <c r="D70" i="12"/>
  <c r="E70" i="12" s="1"/>
  <c r="E66" i="12" l="1"/>
  <c r="B91" i="12"/>
  <c r="C91" i="12" s="1"/>
  <c r="D82" i="12"/>
  <c r="B99" i="12"/>
  <c r="E79" i="12"/>
  <c r="B105" i="12"/>
  <c r="D73" i="12"/>
  <c r="E84" i="12"/>
  <c r="B101" i="12"/>
  <c r="D86" i="12"/>
  <c r="E86" i="12" s="1"/>
  <c r="C99" i="12" l="1"/>
  <c r="B97" i="12"/>
  <c r="C97" i="12" s="1"/>
  <c r="E82" i="12"/>
  <c r="D78" i="12"/>
  <c r="E73" i="12"/>
  <c r="D74" i="12"/>
  <c r="E74" i="12" s="1"/>
  <c r="K51" i="12"/>
  <c r="J51" i="12" s="1"/>
  <c r="B106" i="12"/>
  <c r="C106" i="12" s="1"/>
  <c r="C101" i="12"/>
  <c r="B100" i="12"/>
  <c r="C100" i="12" s="1"/>
  <c r="E78" i="12" l="1"/>
  <c r="D76" i="12"/>
  <c r="E76" i="12" l="1"/>
  <c r="D87" i="12"/>
  <c r="C57" i="22"/>
  <c r="B57" i="22"/>
  <c r="D37" i="22"/>
  <c r="C37" i="22"/>
  <c r="E37" i="22" s="1"/>
  <c r="B37" i="22"/>
  <c r="B36" i="22"/>
  <c r="E26" i="22"/>
  <c r="D27" i="22"/>
  <c r="C27" i="22"/>
  <c r="B27" i="22"/>
  <c r="B26" i="22"/>
  <c r="E51" i="22"/>
  <c r="E47" i="22"/>
  <c r="D47" i="22"/>
  <c r="C47" i="22"/>
  <c r="B47" i="22"/>
  <c r="E68" i="22"/>
  <c r="E69" i="22"/>
  <c r="E70" i="22"/>
  <c r="E71" i="22"/>
  <c r="E72" i="22"/>
  <c r="E75" i="22"/>
  <c r="E77" i="22"/>
  <c r="E79" i="22"/>
  <c r="E81" i="22"/>
  <c r="E83" i="22"/>
  <c r="E85" i="22"/>
  <c r="E67" i="22"/>
  <c r="B94" i="22"/>
  <c r="B95" i="22"/>
  <c r="E16" i="22"/>
  <c r="D4" i="22"/>
  <c r="D14" i="22" s="1"/>
  <c r="D17" i="22" s="1"/>
  <c r="E4" i="22"/>
  <c r="E8" i="22" s="1"/>
  <c r="E10" i="22" s="1"/>
  <c r="E7" i="22"/>
  <c r="F16" i="22"/>
  <c r="F9" i="22"/>
  <c r="F15" i="22"/>
  <c r="F8" i="22"/>
  <c r="F7" i="22"/>
  <c r="F14" i="22"/>
  <c r="F6" i="22"/>
  <c r="E14" i="22"/>
  <c r="D8" i="22"/>
  <c r="D10" i="22" s="1"/>
  <c r="C17" i="22"/>
  <c r="C14" i="22"/>
  <c r="D69" i="22"/>
  <c r="B59" i="22"/>
  <c r="E59" i="22" s="1"/>
  <c r="D58" i="22"/>
  <c r="C58" i="22"/>
  <c r="B58" i="22"/>
  <c r="E58" i="22" s="1"/>
  <c r="B55" i="22"/>
  <c r="B56" i="22" s="1"/>
  <c r="B49" i="22"/>
  <c r="E49" i="22" s="1"/>
  <c r="D48" i="22"/>
  <c r="B48" i="22"/>
  <c r="B39" i="22"/>
  <c r="E39" i="22" s="1"/>
  <c r="D38" i="22"/>
  <c r="B29" i="22"/>
  <c r="E29" i="22" s="1"/>
  <c r="D28" i="22"/>
  <c r="C28" i="22"/>
  <c r="B28" i="22"/>
  <c r="E28" i="22" s="1"/>
  <c r="B25" i="22"/>
  <c r="I21" i="22"/>
  <c r="I20" i="22"/>
  <c r="G20" i="22"/>
  <c r="H20" i="22" s="1"/>
  <c r="I19" i="22"/>
  <c r="G19" i="22"/>
  <c r="H19" i="22" s="1"/>
  <c r="I18" i="22"/>
  <c r="G18" i="22"/>
  <c r="H18" i="22" s="1"/>
  <c r="I17" i="22"/>
  <c r="I16" i="22"/>
  <c r="I15" i="22"/>
  <c r="G15" i="22"/>
  <c r="H15" i="22" s="1"/>
  <c r="I14" i="22"/>
  <c r="I13" i="22"/>
  <c r="G13" i="22"/>
  <c r="H13" i="22" s="1"/>
  <c r="I12" i="22"/>
  <c r="G12" i="22"/>
  <c r="H12" i="22" s="1"/>
  <c r="I11" i="22"/>
  <c r="I10" i="22"/>
  <c r="I9" i="22"/>
  <c r="I8" i="22"/>
  <c r="I7" i="22"/>
  <c r="C36" i="22"/>
  <c r="C8" i="22"/>
  <c r="I6" i="22"/>
  <c r="I5" i="22"/>
  <c r="D45" i="22"/>
  <c r="G5" i="22"/>
  <c r="H5" i="22" s="1"/>
  <c r="D25" i="22"/>
  <c r="E25" i="22" s="1"/>
  <c r="I4" i="22"/>
  <c r="G4" i="22"/>
  <c r="H4" i="22" s="1"/>
  <c r="C38" i="22"/>
  <c r="C51" i="20"/>
  <c r="C45" i="10"/>
  <c r="D45" i="10"/>
  <c r="B45" i="10"/>
  <c r="B41" i="10"/>
  <c r="C41" i="10"/>
  <c r="D41" i="10"/>
  <c r="C40" i="10"/>
  <c r="D40" i="10"/>
  <c r="B40" i="10"/>
  <c r="C39" i="10"/>
  <c r="D39" i="10"/>
  <c r="B39" i="10"/>
  <c r="C37" i="10"/>
  <c r="D37" i="10"/>
  <c r="C38" i="10"/>
  <c r="D38" i="10"/>
  <c r="B38" i="10"/>
  <c r="C36" i="10"/>
  <c r="D36" i="10"/>
  <c r="B37" i="10"/>
  <c r="B36" i="10"/>
  <c r="B49" i="10"/>
  <c r="C47" i="10"/>
  <c r="B47" i="10"/>
  <c r="C7" i="10"/>
  <c r="E27" i="22" l="1"/>
  <c r="E17" i="22"/>
  <c r="C48" i="22"/>
  <c r="E48" i="22" s="1"/>
  <c r="D6" i="22"/>
  <c r="D11" i="22" s="1"/>
  <c r="B45" i="22"/>
  <c r="B46" i="22" s="1"/>
  <c r="E6" i="22"/>
  <c r="E11" i="22" s="1"/>
  <c r="F17" i="22"/>
  <c r="G17" i="22" s="1"/>
  <c r="H17" i="22" s="1"/>
  <c r="F10" i="22"/>
  <c r="F11" i="22" s="1"/>
  <c r="G14" i="22"/>
  <c r="H14" i="22" s="1"/>
  <c r="D81" i="22"/>
  <c r="D68" i="22"/>
  <c r="C6" i="22"/>
  <c r="C56" i="22"/>
  <c r="D77" i="22"/>
  <c r="D26" i="22"/>
  <c r="C10" i="22"/>
  <c r="D46" i="22"/>
  <c r="B38" i="22"/>
  <c r="E38" i="22" s="1"/>
  <c r="D55" i="22"/>
  <c r="E55" i="22" s="1"/>
  <c r="B35" i="22"/>
  <c r="E45" i="22"/>
  <c r="D72" i="22"/>
  <c r="G7" i="22"/>
  <c r="H7" i="22" s="1"/>
  <c r="D35" i="22"/>
  <c r="C26" i="22"/>
  <c r="C44" i="10"/>
  <c r="C46" i="10" s="1"/>
  <c r="C48" i="10" s="1"/>
  <c r="C50" i="10" s="1"/>
  <c r="D47" i="10"/>
  <c r="C11" i="22" l="1"/>
  <c r="G6" i="22"/>
  <c r="H6" i="22" s="1"/>
  <c r="D56" i="22"/>
  <c r="E56" i="22" s="1"/>
  <c r="G8" i="22"/>
  <c r="H8" i="22" s="1"/>
  <c r="B93" i="22"/>
  <c r="D85" i="22"/>
  <c r="B96" i="22"/>
  <c r="D75" i="22"/>
  <c r="C46" i="22"/>
  <c r="E46" i="22" s="1"/>
  <c r="E21" i="22"/>
  <c r="D83" i="22"/>
  <c r="C21" i="22"/>
  <c r="B90" i="22" s="1"/>
  <c r="D36" i="22"/>
  <c r="G9" i="22"/>
  <c r="H9" i="22" s="1"/>
  <c r="E35" i="22"/>
  <c r="B104" i="22"/>
  <c r="B44" i="10"/>
  <c r="B46" i="10" s="1"/>
  <c r="B48" i="10" s="1"/>
  <c r="B50" i="10" s="1"/>
  <c r="D44" i="10"/>
  <c r="D46" i="10" s="1"/>
  <c r="D48" i="10" s="1"/>
  <c r="D50" i="10" s="1"/>
  <c r="E31" i="22" l="1"/>
  <c r="D79" i="22"/>
  <c r="F21" i="22"/>
  <c r="G21" i="22" s="1"/>
  <c r="H21" i="22" s="1"/>
  <c r="G11" i="22"/>
  <c r="H11" i="22" s="1"/>
  <c r="G10" i="22"/>
  <c r="D67" i="22"/>
  <c r="D21" i="22"/>
  <c r="D71" i="22"/>
  <c r="E36" i="22"/>
  <c r="E41" i="22" s="1"/>
  <c r="B103" i="22"/>
  <c r="B98" i="22"/>
  <c r="D66" i="22" l="1"/>
  <c r="B91" i="22" s="1"/>
  <c r="E57" i="22"/>
  <c r="E61" i="22" s="1"/>
  <c r="D84" i="22"/>
  <c r="D80" i="22"/>
  <c r="H10" i="22"/>
  <c r="G22" i="22"/>
  <c r="H22" i="22" s="1"/>
  <c r="D82" i="22"/>
  <c r="E82" i="22" s="1"/>
  <c r="B99" i="22"/>
  <c r="B97" i="22" s="1"/>
  <c r="D70" i="22"/>
  <c r="B92" i="22"/>
  <c r="F48" i="20"/>
  <c r="E48" i="20"/>
  <c r="D48" i="20"/>
  <c r="C48" i="20"/>
  <c r="F43" i="20"/>
  <c r="D43" i="20"/>
  <c r="F36" i="20"/>
  <c r="E36" i="20"/>
  <c r="D36" i="20"/>
  <c r="C36" i="20"/>
  <c r="F31" i="20"/>
  <c r="E31" i="20"/>
  <c r="D31" i="20"/>
  <c r="C31" i="20"/>
  <c r="F30" i="20"/>
  <c r="E30" i="20"/>
  <c r="D30" i="20"/>
  <c r="E43" i="20" s="1"/>
  <c r="C30" i="20"/>
  <c r="F29" i="20"/>
  <c r="F42" i="20" s="1"/>
  <c r="F44" i="20" s="1"/>
  <c r="E29" i="20"/>
  <c r="E42" i="20" s="1"/>
  <c r="E44" i="20" s="1"/>
  <c r="D29" i="20"/>
  <c r="D42" i="20" s="1"/>
  <c r="D44" i="20" s="1"/>
  <c r="C29" i="20"/>
  <c r="C42" i="20" s="1"/>
  <c r="C44" i="20" s="1"/>
  <c r="F20" i="20"/>
  <c r="E20" i="20"/>
  <c r="D20" i="20"/>
  <c r="C20" i="20"/>
  <c r="F8" i="20"/>
  <c r="C5" i="20"/>
  <c r="C13" i="20" s="1"/>
  <c r="F4" i="20"/>
  <c r="E4" i="20"/>
  <c r="F3" i="20" s="1"/>
  <c r="F5" i="20" s="1"/>
  <c r="D4" i="20"/>
  <c r="E3" i="20" s="1"/>
  <c r="E5" i="20" s="1"/>
  <c r="C4" i="20"/>
  <c r="D3" i="20" s="1"/>
  <c r="D5" i="20" s="1"/>
  <c r="C3" i="20"/>
  <c r="C19" i="19"/>
  <c r="D7" i="19"/>
  <c r="C7" i="19"/>
  <c r="C27" i="19"/>
  <c r="D26" i="19"/>
  <c r="C26" i="19"/>
  <c r="E66" i="22" l="1"/>
  <c r="B102" i="22"/>
  <c r="E80" i="22"/>
  <c r="B101" i="22"/>
  <c r="B100" i="22" s="1"/>
  <c r="E84" i="22"/>
  <c r="D86" i="22"/>
  <c r="E86" i="22" s="1"/>
  <c r="B105" i="22"/>
  <c r="D73" i="22"/>
  <c r="C91" i="22"/>
  <c r="E6" i="20"/>
  <c r="E13" i="20"/>
  <c r="C47" i="20"/>
  <c r="C19" i="20"/>
  <c r="D13" i="20"/>
  <c r="D6" i="20"/>
  <c r="F13" i="20"/>
  <c r="F6" i="20"/>
  <c r="C6" i="20"/>
  <c r="C25" i="19"/>
  <c r="B44" i="19"/>
  <c r="D6" i="19" s="1"/>
  <c r="B42" i="19"/>
  <c r="B36" i="19"/>
  <c r="B39" i="19" s="1"/>
  <c r="D30" i="19"/>
  <c r="C30" i="19"/>
  <c r="D17" i="19"/>
  <c r="B26" i="19"/>
  <c r="B20" i="19"/>
  <c r="B21" i="19" s="1"/>
  <c r="C17" i="19"/>
  <c r="B16" i="19"/>
  <c r="B14" i="19"/>
  <c r="B8" i="19"/>
  <c r="B10" i="19" s="1"/>
  <c r="B31" i="19" s="1"/>
  <c r="B33" i="19" s="1"/>
  <c r="C6" i="19"/>
  <c r="D5" i="19"/>
  <c r="C5" i="19"/>
  <c r="D4" i="19"/>
  <c r="C4" i="19"/>
  <c r="C3" i="19" s="1"/>
  <c r="C8" i="19" s="1"/>
  <c r="B3" i="19"/>
  <c r="C34" i="18"/>
  <c r="C33" i="18"/>
  <c r="F32" i="18"/>
  <c r="E32" i="18"/>
  <c r="C32" i="18"/>
  <c r="D21" i="18"/>
  <c r="G19" i="18"/>
  <c r="D16" i="18"/>
  <c r="D14" i="18"/>
  <c r="G12" i="18"/>
  <c r="F12" i="18"/>
  <c r="E12" i="18"/>
  <c r="D12" i="18"/>
  <c r="E11" i="18" s="1"/>
  <c r="G11" i="18"/>
  <c r="F11" i="18"/>
  <c r="D9" i="18"/>
  <c r="D8" i="18"/>
  <c r="D10" i="18" s="1"/>
  <c r="G5" i="18"/>
  <c r="F5" i="18"/>
  <c r="E5" i="18"/>
  <c r="D5" i="18"/>
  <c r="D32" i="18" s="1"/>
  <c r="L21" i="4"/>
  <c r="K21" i="4"/>
  <c r="E19" i="4"/>
  <c r="L18" i="4"/>
  <c r="K18" i="4"/>
  <c r="E18" i="4"/>
  <c r="E17" i="4"/>
  <c r="B14" i="4"/>
  <c r="J13" i="4"/>
  <c r="L22" i="4" s="1"/>
  <c r="I13" i="4"/>
  <c r="D13" i="4"/>
  <c r="I12" i="4"/>
  <c r="H12" i="4"/>
  <c r="I11" i="4"/>
  <c r="G11" i="4"/>
  <c r="F11" i="4"/>
  <c r="J10" i="4"/>
  <c r="J14" i="4" s="1"/>
  <c r="J21" i="4" s="1"/>
  <c r="I10" i="4"/>
  <c r="I14" i="4" s="1"/>
  <c r="I21" i="4" s="1"/>
  <c r="H10" i="4"/>
  <c r="H13" i="4" s="1"/>
  <c r="G10" i="4"/>
  <c r="G12" i="4" s="1"/>
  <c r="F10" i="4"/>
  <c r="F12" i="4" s="1"/>
  <c r="E10" i="4"/>
  <c r="E11" i="4" s="1"/>
  <c r="J9" i="4"/>
  <c r="J18" i="4" s="1"/>
  <c r="I9" i="4"/>
  <c r="I18" i="4" s="1"/>
  <c r="E9" i="4"/>
  <c r="B9" i="4"/>
  <c r="H9" i="4" s="1"/>
  <c r="H18" i="4" s="1"/>
  <c r="J8" i="4"/>
  <c r="L19" i="4" s="1"/>
  <c r="I8" i="4"/>
  <c r="D8" i="4"/>
  <c r="H8" i="4" s="1"/>
  <c r="J7" i="4"/>
  <c r="K19" i="4" s="1"/>
  <c r="I7" i="4"/>
  <c r="H7" i="4"/>
  <c r="G7" i="4"/>
  <c r="F7" i="4"/>
  <c r="E7" i="4"/>
  <c r="J6" i="4"/>
  <c r="I6" i="4"/>
  <c r="H6" i="4"/>
  <c r="G6" i="4"/>
  <c r="F6" i="4"/>
  <c r="F19" i="4" s="1"/>
  <c r="E6" i="4"/>
  <c r="D78" i="22" l="1"/>
  <c r="E78" i="22" s="1"/>
  <c r="E73" i="22"/>
  <c r="D74" i="22"/>
  <c r="E74" i="22" s="1"/>
  <c r="K51" i="22"/>
  <c r="J51" i="22" s="1"/>
  <c r="B106" i="22"/>
  <c r="C106" i="22" s="1"/>
  <c r="E8" i="20"/>
  <c r="F7" i="20" s="1"/>
  <c r="F9" i="20" s="1"/>
  <c r="E47" i="20"/>
  <c r="E19" i="20"/>
  <c r="D8" i="20"/>
  <c r="E7" i="20" s="1"/>
  <c r="E9" i="20" s="1"/>
  <c r="F47" i="20"/>
  <c r="F19" i="20"/>
  <c r="C8" i="20"/>
  <c r="C7" i="20"/>
  <c r="C9" i="20"/>
  <c r="D47" i="20"/>
  <c r="D19" i="20"/>
  <c r="D3" i="19"/>
  <c r="D25" i="19"/>
  <c r="C13" i="19"/>
  <c r="B27" i="19"/>
  <c r="B28" i="19" s="1"/>
  <c r="C9" i="19"/>
  <c r="C10" i="19" s="1"/>
  <c r="D18" i="19"/>
  <c r="C18" i="19"/>
  <c r="C32" i="19" s="1"/>
  <c r="D13" i="18"/>
  <c r="D15" i="18" s="1"/>
  <c r="D26" i="18"/>
  <c r="E34" i="18" s="1"/>
  <c r="D17" i="18"/>
  <c r="D7" i="18"/>
  <c r="E6" i="18" s="1"/>
  <c r="E8" i="18" s="1"/>
  <c r="G32" i="18"/>
  <c r="G22" i="4"/>
  <c r="E23" i="4"/>
  <c r="E22" i="4"/>
  <c r="E20" i="4"/>
  <c r="I19" i="4"/>
  <c r="J19" i="4"/>
  <c r="H11" i="4"/>
  <c r="J12" i="4"/>
  <c r="E14" i="4"/>
  <c r="E21" i="4" s="1"/>
  <c r="G20" i="4"/>
  <c r="E8" i="4"/>
  <c r="G17" i="4" s="1"/>
  <c r="G23" i="4" s="1"/>
  <c r="F9" i="4"/>
  <c r="F18" i="4" s="1"/>
  <c r="J11" i="4"/>
  <c r="E13" i="4"/>
  <c r="F14" i="4"/>
  <c r="F21" i="4" s="1"/>
  <c r="F8" i="4"/>
  <c r="H17" i="4" s="1"/>
  <c r="G9" i="4"/>
  <c r="G18" i="4" s="1"/>
  <c r="E12" i="4"/>
  <c r="F20" i="4" s="1"/>
  <c r="F13" i="4"/>
  <c r="G14" i="4"/>
  <c r="G21" i="4" s="1"/>
  <c r="I17" i="4"/>
  <c r="G8" i="4"/>
  <c r="G13" i="4"/>
  <c r="I22" i="4" s="1"/>
  <c r="H14" i="4"/>
  <c r="H21" i="4" s="1"/>
  <c r="J17" i="4"/>
  <c r="K17" i="4"/>
  <c r="L17" i="4"/>
  <c r="L20" i="4"/>
  <c r="H17" i="17"/>
  <c r="I17" i="17"/>
  <c r="J17" i="17"/>
  <c r="G17" i="17"/>
  <c r="F17" i="17"/>
  <c r="J12" i="17"/>
  <c r="J14" i="17" s="1"/>
  <c r="F12" i="17"/>
  <c r="F14" i="17" s="1"/>
  <c r="G12" i="17"/>
  <c r="G14" i="17" s="1"/>
  <c r="H12" i="17"/>
  <c r="H14" i="17" s="1"/>
  <c r="I12" i="17"/>
  <c r="I14" i="17" s="1"/>
  <c r="E12" i="17"/>
  <c r="E14" i="17" s="1"/>
  <c r="K20" i="17"/>
  <c r="F5" i="17"/>
  <c r="G5" i="17"/>
  <c r="H5" i="17"/>
  <c r="I5" i="17"/>
  <c r="J5" i="17"/>
  <c r="F6" i="17"/>
  <c r="G6" i="17"/>
  <c r="H6" i="17"/>
  <c r="I6" i="17"/>
  <c r="J6" i="17"/>
  <c r="E6" i="17"/>
  <c r="F10" i="17" s="1"/>
  <c r="E5" i="17"/>
  <c r="E21" i="17" s="1"/>
  <c r="E24" i="17"/>
  <c r="L23" i="17"/>
  <c r="K23" i="17"/>
  <c r="J23" i="17"/>
  <c r="I23" i="17"/>
  <c r="H23" i="17"/>
  <c r="G23" i="17"/>
  <c r="F23" i="17"/>
  <c r="E23" i="17"/>
  <c r="E22" i="17"/>
  <c r="L20" i="17"/>
  <c r="B16" i="17"/>
  <c r="D15" i="17"/>
  <c r="I15" i="17" s="1"/>
  <c r="B9" i="17"/>
  <c r="F9" i="17" s="1"/>
  <c r="F20" i="17" s="1"/>
  <c r="D7" i="17"/>
  <c r="E7" i="17" s="1"/>
  <c r="B92" i="15"/>
  <c r="D69" i="16"/>
  <c r="B95" i="16"/>
  <c r="D69" i="15"/>
  <c r="D81" i="15"/>
  <c r="B104" i="15"/>
  <c r="C103" i="15"/>
  <c r="D77" i="15"/>
  <c r="C102" i="15"/>
  <c r="B103" i="15"/>
  <c r="B102" i="15"/>
  <c r="B91" i="15"/>
  <c r="C91" i="15"/>
  <c r="B96" i="15"/>
  <c r="B99" i="15"/>
  <c r="C101" i="15"/>
  <c r="B101" i="15"/>
  <c r="C100" i="15"/>
  <c r="B100" i="15"/>
  <c r="D84" i="15"/>
  <c r="E84" i="15" s="1"/>
  <c r="D80" i="15"/>
  <c r="D68" i="15"/>
  <c r="D83" i="16"/>
  <c r="D79" i="16"/>
  <c r="D77" i="16"/>
  <c r="D84" i="16"/>
  <c r="E84" i="16" s="1"/>
  <c r="D80" i="16"/>
  <c r="E80" i="16" s="1"/>
  <c r="E72" i="16"/>
  <c r="E71" i="16"/>
  <c r="B59" i="16"/>
  <c r="E59" i="16" s="1"/>
  <c r="D58" i="16"/>
  <c r="C58" i="16"/>
  <c r="D56" i="16"/>
  <c r="D55" i="16"/>
  <c r="B93" i="16" s="1"/>
  <c r="C93" i="16" s="1"/>
  <c r="B55" i="16"/>
  <c r="D75" i="16" s="1"/>
  <c r="E75" i="16" s="1"/>
  <c r="B49" i="16"/>
  <c r="E49" i="16" s="1"/>
  <c r="D48" i="16"/>
  <c r="C48" i="16"/>
  <c r="D46" i="16"/>
  <c r="D45" i="16"/>
  <c r="B45" i="16"/>
  <c r="E45" i="16" s="1"/>
  <c r="E51" i="16" s="1"/>
  <c r="B39" i="16"/>
  <c r="E39" i="16" s="1"/>
  <c r="D38" i="16"/>
  <c r="B38" i="16"/>
  <c r="D36" i="16"/>
  <c r="D35" i="16"/>
  <c r="B35" i="16"/>
  <c r="E35" i="16" s="1"/>
  <c r="B29" i="16"/>
  <c r="E29" i="16" s="1"/>
  <c r="D28" i="16"/>
  <c r="D81" i="16" s="1"/>
  <c r="E81" i="16" s="1"/>
  <c r="D26" i="16"/>
  <c r="E25" i="16"/>
  <c r="D25" i="16"/>
  <c r="B25" i="16"/>
  <c r="I21" i="16"/>
  <c r="I20" i="16"/>
  <c r="F20" i="16"/>
  <c r="E20" i="16"/>
  <c r="I19" i="16"/>
  <c r="G19" i="16"/>
  <c r="H19" i="16" s="1"/>
  <c r="I18" i="16"/>
  <c r="G18" i="16"/>
  <c r="H18" i="16" s="1"/>
  <c r="F18" i="16"/>
  <c r="B58" i="16" s="1"/>
  <c r="E58" i="16" s="1"/>
  <c r="E18" i="16"/>
  <c r="B48" i="16" s="1"/>
  <c r="E48" i="16" s="1"/>
  <c r="D18" i="16"/>
  <c r="D20" i="16" s="1"/>
  <c r="C18" i="16"/>
  <c r="C20" i="16" s="1"/>
  <c r="I17" i="16"/>
  <c r="F17" i="16"/>
  <c r="F21" i="16" s="1"/>
  <c r="I16" i="16"/>
  <c r="F16" i="16"/>
  <c r="E16" i="16"/>
  <c r="D16" i="16"/>
  <c r="C16" i="16"/>
  <c r="I15" i="16"/>
  <c r="F15" i="16"/>
  <c r="G15" i="16" s="1"/>
  <c r="H15" i="16" s="1"/>
  <c r="E15" i="16"/>
  <c r="D15" i="16"/>
  <c r="C15" i="16"/>
  <c r="I14" i="16"/>
  <c r="F14" i="16"/>
  <c r="E14" i="16"/>
  <c r="E17" i="16" s="1"/>
  <c r="D14" i="16"/>
  <c r="D17" i="16" s="1"/>
  <c r="G17" i="16" s="1"/>
  <c r="H17" i="16" s="1"/>
  <c r="C14" i="16"/>
  <c r="C17" i="16" s="1"/>
  <c r="I13" i="16"/>
  <c r="F13" i="16"/>
  <c r="E13" i="16"/>
  <c r="D13" i="16"/>
  <c r="G13" i="16" s="1"/>
  <c r="H13" i="16" s="1"/>
  <c r="C13" i="16"/>
  <c r="I12" i="16"/>
  <c r="G12" i="16"/>
  <c r="H12" i="16" s="1"/>
  <c r="I11" i="16"/>
  <c r="E11" i="16"/>
  <c r="I10" i="16"/>
  <c r="F10" i="16"/>
  <c r="E10" i="16"/>
  <c r="I9" i="16"/>
  <c r="H9" i="16"/>
  <c r="G9" i="16"/>
  <c r="I8" i="16"/>
  <c r="D8" i="16"/>
  <c r="B36" i="16" s="1"/>
  <c r="I7" i="16"/>
  <c r="H7" i="16"/>
  <c r="G7" i="16"/>
  <c r="F7" i="16"/>
  <c r="C56" i="16" s="1"/>
  <c r="E7" i="16"/>
  <c r="C46" i="16" s="1"/>
  <c r="E46" i="16" s="1"/>
  <c r="D7" i="16"/>
  <c r="C36" i="16" s="1"/>
  <c r="C7" i="16"/>
  <c r="I6" i="16"/>
  <c r="G6" i="16"/>
  <c r="F6" i="16"/>
  <c r="F11" i="16" s="1"/>
  <c r="E6" i="16"/>
  <c r="D6" i="16"/>
  <c r="C6" i="16"/>
  <c r="I5" i="16"/>
  <c r="G5" i="16"/>
  <c r="H5" i="16" s="1"/>
  <c r="I4" i="16"/>
  <c r="H4" i="16"/>
  <c r="G4" i="16"/>
  <c r="D76" i="22" l="1"/>
  <c r="E76" i="22" s="1"/>
  <c r="D87" i="22"/>
  <c r="E33" i="20"/>
  <c r="E18" i="20"/>
  <c r="E21" i="20" s="1"/>
  <c r="E34" i="20"/>
  <c r="E32" i="20"/>
  <c r="E45" i="20" s="1"/>
  <c r="F33" i="20"/>
  <c r="F18" i="20"/>
  <c r="F21" i="20" s="1"/>
  <c r="F34" i="20"/>
  <c r="F32" i="20"/>
  <c r="F45" i="20" s="1"/>
  <c r="C34" i="20"/>
  <c r="C32" i="20"/>
  <c r="C45" i="20" s="1"/>
  <c r="C49" i="20" s="1"/>
  <c r="C33" i="20"/>
  <c r="D46" i="20" s="1"/>
  <c r="C18" i="20"/>
  <c r="C21" i="20" s="1"/>
  <c r="D7" i="20"/>
  <c r="D9" i="20" s="1"/>
  <c r="C15" i="19"/>
  <c r="C16" i="19" s="1"/>
  <c r="C21" i="19" s="1"/>
  <c r="C31" i="19"/>
  <c r="C33" i="19" s="1"/>
  <c r="C20" i="19"/>
  <c r="D8" i="19"/>
  <c r="D32" i="19"/>
  <c r="E10" i="18"/>
  <c r="E7" i="18"/>
  <c r="F6" i="18" s="1"/>
  <c r="F8" i="18" s="1"/>
  <c r="D29" i="18"/>
  <c r="D28" i="18" s="1"/>
  <c r="F30" i="18"/>
  <c r="H22" i="4"/>
  <c r="H20" i="4"/>
  <c r="H23" i="4" s="1"/>
  <c r="H19" i="4"/>
  <c r="F22" i="4"/>
  <c r="G19" i="4"/>
  <c r="I20" i="4"/>
  <c r="I23" i="4" s="1"/>
  <c r="F17" i="4"/>
  <c r="F23" i="4" s="1"/>
  <c r="L23" i="4"/>
  <c r="J22" i="4"/>
  <c r="J20" i="4"/>
  <c r="J23" i="4" s="1"/>
  <c r="K22" i="4"/>
  <c r="K20" i="4"/>
  <c r="K23" i="4" s="1"/>
  <c r="G22" i="17"/>
  <c r="I24" i="17"/>
  <c r="K22" i="17"/>
  <c r="K24" i="17"/>
  <c r="F24" i="17"/>
  <c r="F22" i="17"/>
  <c r="H22" i="17"/>
  <c r="G15" i="17"/>
  <c r="I22" i="17" s="1"/>
  <c r="F11" i="17"/>
  <c r="F15" i="17"/>
  <c r="G7" i="17"/>
  <c r="I10" i="17" s="1"/>
  <c r="E15" i="17"/>
  <c r="G24" i="17" s="1"/>
  <c r="H15" i="17"/>
  <c r="J22" i="17" s="1"/>
  <c r="J15" i="17"/>
  <c r="L22" i="17" s="1"/>
  <c r="E10" i="17"/>
  <c r="G10" i="17"/>
  <c r="G11" i="17" s="1"/>
  <c r="L24" i="17"/>
  <c r="H24" i="17"/>
  <c r="E8" i="17"/>
  <c r="I9" i="17"/>
  <c r="I20" i="17" s="1"/>
  <c r="G9" i="17"/>
  <c r="G20" i="17" s="1"/>
  <c r="J7" i="17"/>
  <c r="J8" i="17" s="1"/>
  <c r="J9" i="17"/>
  <c r="J20" i="17" s="1"/>
  <c r="E9" i="17"/>
  <c r="I7" i="17"/>
  <c r="I8" i="17" s="1"/>
  <c r="H9" i="17"/>
  <c r="H20" i="17" s="1"/>
  <c r="H7" i="17"/>
  <c r="H8" i="17" s="1"/>
  <c r="G8" i="17"/>
  <c r="F7" i="17"/>
  <c r="G19" i="17"/>
  <c r="G25" i="17" s="1"/>
  <c r="L21" i="17"/>
  <c r="F21" i="17"/>
  <c r="E19" i="17"/>
  <c r="E25" i="17" s="1"/>
  <c r="F19" i="17"/>
  <c r="F25" i="17" s="1"/>
  <c r="G21" i="17"/>
  <c r="E77" i="16"/>
  <c r="B96" i="16"/>
  <c r="C96" i="16" s="1"/>
  <c r="D21" i="16"/>
  <c r="D71" i="16"/>
  <c r="E21" i="16"/>
  <c r="E69" i="16"/>
  <c r="G20" i="16"/>
  <c r="H20" i="16" s="1"/>
  <c r="E36" i="16"/>
  <c r="D68" i="16"/>
  <c r="E68" i="16" s="1"/>
  <c r="C8" i="16"/>
  <c r="E55" i="16"/>
  <c r="D72" i="16"/>
  <c r="C38" i="16"/>
  <c r="D85" i="16" s="1"/>
  <c r="B56" i="16"/>
  <c r="H6" i="16"/>
  <c r="B28" i="16"/>
  <c r="C28" i="16"/>
  <c r="D10" i="16"/>
  <c r="D11" i="16" s="1"/>
  <c r="G14" i="16"/>
  <c r="H14" i="16" s="1"/>
  <c r="D33" i="20" l="1"/>
  <c r="E46" i="20" s="1"/>
  <c r="D34" i="20"/>
  <c r="D18" i="20"/>
  <c r="D21" i="20" s="1"/>
  <c r="D32" i="20"/>
  <c r="D45" i="20" s="1"/>
  <c r="D49" i="20" s="1"/>
  <c r="D50" i="20" s="1"/>
  <c r="F24" i="20"/>
  <c r="F22" i="20"/>
  <c r="F26" i="20" s="1"/>
  <c r="E49" i="20"/>
  <c r="E50" i="20" s="1"/>
  <c r="E24" i="20"/>
  <c r="E22" i="20"/>
  <c r="C24" i="20"/>
  <c r="C22" i="20"/>
  <c r="D41" i="20"/>
  <c r="C50" i="20"/>
  <c r="F46" i="20"/>
  <c r="F49" i="20" s="1"/>
  <c r="F50" i="20" s="1"/>
  <c r="C28" i="19"/>
  <c r="D13" i="19"/>
  <c r="D9" i="19"/>
  <c r="D10" i="19" s="1"/>
  <c r="F10" i="18"/>
  <c r="F7" i="18"/>
  <c r="G6" i="18" s="1"/>
  <c r="G8" i="18" s="1"/>
  <c r="E13" i="18"/>
  <c r="E15" i="18" s="1"/>
  <c r="E26" i="18"/>
  <c r="F34" i="18" s="1"/>
  <c r="E17" i="18"/>
  <c r="J24" i="17"/>
  <c r="I11" i="17"/>
  <c r="E20" i="17"/>
  <c r="E11" i="17"/>
  <c r="K19" i="17"/>
  <c r="K25" i="17" s="1"/>
  <c r="F8" i="17"/>
  <c r="H10" i="17"/>
  <c r="H11" i="17" s="1"/>
  <c r="J10" i="17"/>
  <c r="J11" i="17" s="1"/>
  <c r="J19" i="17"/>
  <c r="J25" i="17" s="1"/>
  <c r="K21" i="17"/>
  <c r="J21" i="17"/>
  <c r="H19" i="17"/>
  <c r="H25" i="17" s="1"/>
  <c r="H21" i="17"/>
  <c r="L19" i="17"/>
  <c r="L25" i="17" s="1"/>
  <c r="I21" i="17"/>
  <c r="I19" i="17"/>
  <c r="I25" i="17" s="1"/>
  <c r="E85" i="16"/>
  <c r="C95" i="16"/>
  <c r="D86" i="16"/>
  <c r="E86" i="16" s="1"/>
  <c r="E83" i="16"/>
  <c r="G8" i="16"/>
  <c r="H8" i="16" s="1"/>
  <c r="B26" i="16"/>
  <c r="E26" i="16" s="1"/>
  <c r="E31" i="16" s="1"/>
  <c r="E56" i="16"/>
  <c r="E61" i="16" s="1"/>
  <c r="D73" i="16" s="1"/>
  <c r="E38" i="16"/>
  <c r="E41" i="16" s="1"/>
  <c r="E28" i="16"/>
  <c r="C10" i="16"/>
  <c r="D24" i="20" l="1"/>
  <c r="D22" i="20"/>
  <c r="D51" i="20"/>
  <c r="E41" i="20" s="1"/>
  <c r="E51" i="20" s="1"/>
  <c r="F41" i="20" s="1"/>
  <c r="F51" i="20" s="1"/>
  <c r="D25" i="20"/>
  <c r="C26" i="20"/>
  <c r="C27" i="20"/>
  <c r="C37" i="20" s="1"/>
  <c r="C38" i="20" s="1"/>
  <c r="E26" i="20"/>
  <c r="F25" i="20"/>
  <c r="F27" i="20" s="1"/>
  <c r="F37" i="20" s="1"/>
  <c r="F38" i="20" s="1"/>
  <c r="D19" i="19"/>
  <c r="D20" i="19" s="1"/>
  <c r="D21" i="19" s="1"/>
  <c r="D27" i="19" s="1"/>
  <c r="D28" i="19" s="1"/>
  <c r="D15" i="19"/>
  <c r="D16" i="19" s="1"/>
  <c r="D19" i="18"/>
  <c r="E29" i="18"/>
  <c r="E28" i="18" s="1"/>
  <c r="G30" i="18"/>
  <c r="G10" i="18"/>
  <c r="G7" i="18"/>
  <c r="F26" i="18"/>
  <c r="G34" i="18" s="1"/>
  <c r="F13" i="18"/>
  <c r="F15" i="18" s="1"/>
  <c r="F29" i="18" s="1"/>
  <c r="F28" i="18" s="1"/>
  <c r="F17" i="18"/>
  <c r="D66" i="16"/>
  <c r="B91" i="16"/>
  <c r="C91" i="16" s="1"/>
  <c r="E73" i="16"/>
  <c r="D74" i="16"/>
  <c r="E74" i="16" s="1"/>
  <c r="G10" i="16"/>
  <c r="C11" i="16"/>
  <c r="G11" i="16" s="1"/>
  <c r="H11" i="16" s="1"/>
  <c r="D67" i="16"/>
  <c r="C21" i="16"/>
  <c r="B94" i="16"/>
  <c r="C94" i="16" s="1"/>
  <c r="D82" i="16"/>
  <c r="E79" i="16"/>
  <c r="D26" i="20" l="1"/>
  <c r="E25" i="20"/>
  <c r="E27" i="20" s="1"/>
  <c r="E37" i="20" s="1"/>
  <c r="E38" i="20" s="1"/>
  <c r="D27" i="20"/>
  <c r="D37" i="20" s="1"/>
  <c r="D38" i="20" s="1"/>
  <c r="D31" i="19"/>
  <c r="D33" i="19" s="1"/>
  <c r="E18" i="18"/>
  <c r="D20" i="18"/>
  <c r="D22" i="18" s="1"/>
  <c r="E19" i="18"/>
  <c r="G26" i="18"/>
  <c r="G17" i="18"/>
  <c r="G13" i="18"/>
  <c r="G15" i="18" s="1"/>
  <c r="G29" i="18" s="1"/>
  <c r="G28" i="18" s="1"/>
  <c r="B90" i="16"/>
  <c r="B92" i="16" s="1"/>
  <c r="B97" i="16" s="1"/>
  <c r="G21" i="16"/>
  <c r="H21" i="16" s="1"/>
  <c r="H10" i="16"/>
  <c r="G22" i="16"/>
  <c r="H22" i="16" s="1"/>
  <c r="D70" i="16"/>
  <c r="E70" i="16" s="1"/>
  <c r="E67" i="16"/>
  <c r="E82" i="16"/>
  <c r="D78" i="16"/>
  <c r="E66" i="16"/>
  <c r="F18" i="18" l="1"/>
  <c r="E20" i="18"/>
  <c r="E22" i="18" s="1"/>
  <c r="D33" i="18"/>
  <c r="D31" i="18"/>
  <c r="D35" i="18" s="1"/>
  <c r="F19" i="18"/>
  <c r="E78" i="16"/>
  <c r="D76" i="16"/>
  <c r="K51" i="16"/>
  <c r="J51" i="16" s="1"/>
  <c r="B98" i="16"/>
  <c r="C98" i="16" s="1"/>
  <c r="G18" i="18" l="1"/>
  <c r="G20" i="18" s="1"/>
  <c r="G22" i="18" s="1"/>
  <c r="F20" i="18"/>
  <c r="F22" i="18" s="1"/>
  <c r="E33" i="18"/>
  <c r="E31" i="18"/>
  <c r="E35" i="18" s="1"/>
  <c r="E76" i="16"/>
  <c r="D87" i="16"/>
  <c r="F33" i="18" l="1"/>
  <c r="F31" i="18"/>
  <c r="F35" i="18" s="1"/>
  <c r="G33" i="18"/>
  <c r="G31" i="18"/>
  <c r="G35" i="18" s="1"/>
  <c r="E80" i="15"/>
  <c r="E72" i="15"/>
  <c r="C93" i="15" s="1"/>
  <c r="E71" i="15"/>
  <c r="E69" i="15"/>
  <c r="B59" i="15"/>
  <c r="E59" i="15" s="1"/>
  <c r="D58" i="15"/>
  <c r="B58" i="15"/>
  <c r="B49" i="15"/>
  <c r="E49" i="15" s="1"/>
  <c r="D48" i="15"/>
  <c r="B39" i="15"/>
  <c r="E39" i="15" s="1"/>
  <c r="D38" i="15"/>
  <c r="B29" i="15"/>
  <c r="E29" i="15" s="1"/>
  <c r="D28" i="15"/>
  <c r="C28" i="15"/>
  <c r="B28" i="15"/>
  <c r="E28" i="15" s="1"/>
  <c r="B25" i="15"/>
  <c r="I21" i="15"/>
  <c r="I20" i="15"/>
  <c r="G20" i="15"/>
  <c r="H20" i="15" s="1"/>
  <c r="I19" i="15"/>
  <c r="G19" i="15"/>
  <c r="H19" i="15" s="1"/>
  <c r="I18" i="15"/>
  <c r="G18" i="15"/>
  <c r="H18" i="15" s="1"/>
  <c r="I17" i="15"/>
  <c r="I16" i="15"/>
  <c r="I15" i="15"/>
  <c r="G15" i="15"/>
  <c r="H15" i="15" s="1"/>
  <c r="I14" i="15"/>
  <c r="G14" i="15"/>
  <c r="H14" i="15" s="1"/>
  <c r="G17" i="15"/>
  <c r="H17" i="15" s="1"/>
  <c r="E68" i="15"/>
  <c r="I13" i="15"/>
  <c r="G13" i="15"/>
  <c r="H13" i="15" s="1"/>
  <c r="I12" i="15"/>
  <c r="G12" i="15"/>
  <c r="H12" i="15" s="1"/>
  <c r="I11" i="15"/>
  <c r="I10" i="15"/>
  <c r="I9" i="15"/>
  <c r="I8" i="15"/>
  <c r="C8" i="15"/>
  <c r="C9" i="15" s="1"/>
  <c r="D26" i="15" s="1"/>
  <c r="I7" i="15"/>
  <c r="D7" i="15"/>
  <c r="C36" i="15" s="1"/>
  <c r="C7" i="15"/>
  <c r="C26" i="15" s="1"/>
  <c r="I6" i="15"/>
  <c r="I5" i="15"/>
  <c r="E5" i="15"/>
  <c r="D45" i="15" s="1"/>
  <c r="D5" i="15"/>
  <c r="D35" i="15" s="1"/>
  <c r="C5" i="15"/>
  <c r="D25" i="15" s="1"/>
  <c r="E25" i="15" s="1"/>
  <c r="I4" i="15"/>
  <c r="F4" i="15"/>
  <c r="F5" i="15" s="1"/>
  <c r="E4" i="15"/>
  <c r="F7" i="15" s="1"/>
  <c r="G7" i="15" s="1"/>
  <c r="H7" i="15" s="1"/>
  <c r="D4" i="15"/>
  <c r="C38" i="15" s="1"/>
  <c r="E7" i="15" l="1"/>
  <c r="C46" i="15" s="1"/>
  <c r="D6" i="15"/>
  <c r="C10" i="15"/>
  <c r="E6" i="15"/>
  <c r="E11" i="15" s="1"/>
  <c r="D8" i="15"/>
  <c r="B36" i="15" s="1"/>
  <c r="F6" i="15"/>
  <c r="G5" i="15"/>
  <c r="H5" i="15" s="1"/>
  <c r="D55" i="15"/>
  <c r="E77" i="15"/>
  <c r="B48" i="15"/>
  <c r="C48" i="15"/>
  <c r="B26" i="15"/>
  <c r="E26" i="15" s="1"/>
  <c r="E31" i="15" s="1"/>
  <c r="B45" i="15"/>
  <c r="E9" i="15"/>
  <c r="D46" i="15" s="1"/>
  <c r="C6" i="15"/>
  <c r="E8" i="15"/>
  <c r="E10" i="15" s="1"/>
  <c r="B38" i="15"/>
  <c r="E38" i="15" s="1"/>
  <c r="C58" i="15"/>
  <c r="B35" i="15"/>
  <c r="E35" i="15" s="1"/>
  <c r="C56" i="15"/>
  <c r="G4" i="15"/>
  <c r="H4" i="15" s="1"/>
  <c r="F8" i="15"/>
  <c r="D9" i="15"/>
  <c r="B55" i="15"/>
  <c r="D72" i="15" s="1"/>
  <c r="D85" i="15" l="1"/>
  <c r="E85" i="15" s="1"/>
  <c r="D67" i="15"/>
  <c r="B93" i="15"/>
  <c r="D11" i="15"/>
  <c r="D75" i="15"/>
  <c r="E75" i="15" s="1"/>
  <c r="E81" i="15"/>
  <c r="E45" i="15"/>
  <c r="B46" i="15"/>
  <c r="E46" i="15" s="1"/>
  <c r="E58" i="15"/>
  <c r="B56" i="15"/>
  <c r="E55" i="15"/>
  <c r="D36" i="15"/>
  <c r="D71" i="15" s="1"/>
  <c r="D10" i="15"/>
  <c r="C11" i="15"/>
  <c r="C21" i="15"/>
  <c r="B90" i="15" s="1"/>
  <c r="E48" i="15"/>
  <c r="B95" i="15"/>
  <c r="C95" i="15" s="1"/>
  <c r="G8" i="15"/>
  <c r="H8" i="15" s="1"/>
  <c r="F9" i="15"/>
  <c r="D56" i="15" s="1"/>
  <c r="F10" i="15"/>
  <c r="G10" i="15" s="1"/>
  <c r="H10" i="15" s="1"/>
  <c r="E21" i="15"/>
  <c r="G6" i="15"/>
  <c r="C99" i="15" l="1"/>
  <c r="E51" i="15"/>
  <c r="E36" i="15"/>
  <c r="E56" i="15"/>
  <c r="D83" i="15"/>
  <c r="F11" i="15"/>
  <c r="G11" i="15" s="1"/>
  <c r="H11" i="15" s="1"/>
  <c r="D70" i="15"/>
  <c r="B94" i="15"/>
  <c r="D79" i="15"/>
  <c r="G9" i="15"/>
  <c r="H9" i="15" s="1"/>
  <c r="D21" i="15"/>
  <c r="F21" i="15"/>
  <c r="G21" i="15" s="1"/>
  <c r="H21" i="15" s="1"/>
  <c r="E61" i="15"/>
  <c r="E41" i="15"/>
  <c r="G22" i="15"/>
  <c r="H22" i="15" s="1"/>
  <c r="H6" i="15"/>
  <c r="D73" i="15" l="1"/>
  <c r="D74" i="15" s="1"/>
  <c r="D82" i="15"/>
  <c r="B98" i="15"/>
  <c r="D86" i="15"/>
  <c r="E86" i="15" s="1"/>
  <c r="E83" i="15"/>
  <c r="C97" i="15" s="1"/>
  <c r="B97" i="15"/>
  <c r="C96" i="15"/>
  <c r="E79" i="15"/>
  <c r="C98" i="15" s="1"/>
  <c r="E74" i="15"/>
  <c r="C94" i="15" s="1"/>
  <c r="E70" i="15"/>
  <c r="E67" i="15"/>
  <c r="D66" i="15"/>
  <c r="D78" i="15" l="1"/>
  <c r="D76" i="15" s="1"/>
  <c r="E76" i="15" s="1"/>
  <c r="E73" i="15"/>
  <c r="E82" i="15"/>
  <c r="C92" i="15"/>
  <c r="E66" i="15"/>
  <c r="K51" i="15" l="1"/>
  <c r="J51" i="15" s="1"/>
  <c r="B105" i="15"/>
  <c r="C105" i="15" s="1"/>
  <c r="E78" i="15"/>
  <c r="D87" i="15" l="1"/>
  <c r="F18" i="13" l="1"/>
  <c r="G18" i="13"/>
  <c r="E18" i="13"/>
  <c r="D19" i="13" s="1"/>
  <c r="D20" i="13" s="1"/>
  <c r="D22" i="13" s="1"/>
  <c r="D34" i="13" s="1"/>
  <c r="D32" i="13" s="1"/>
  <c r="E30" i="13"/>
  <c r="E29" i="13" s="1"/>
  <c r="F30" i="13"/>
  <c r="F29" i="13" s="1"/>
  <c r="G30" i="13"/>
  <c r="G29" i="13"/>
  <c r="D30" i="13"/>
  <c r="E15" i="13"/>
  <c r="F15" i="13"/>
  <c r="G15" i="13"/>
  <c r="D15" i="13"/>
  <c r="F27" i="13"/>
  <c r="F35" i="13" s="1"/>
  <c r="G27" i="13"/>
  <c r="E27" i="13"/>
  <c r="E35" i="13" s="1"/>
  <c r="D35" i="13"/>
  <c r="E26" i="13"/>
  <c r="F26" i="13"/>
  <c r="G26" i="13"/>
  <c r="D26" i="13"/>
  <c r="E33" i="13"/>
  <c r="F33" i="13"/>
  <c r="D33" i="13"/>
  <c r="G31" i="13"/>
  <c r="F31" i="13"/>
  <c r="E21" i="13"/>
  <c r="F21" i="13"/>
  <c r="G21" i="13"/>
  <c r="D21" i="13"/>
  <c r="E16" i="13"/>
  <c r="F16" i="13"/>
  <c r="G16" i="13"/>
  <c r="D16" i="13"/>
  <c r="E14" i="13"/>
  <c r="F14" i="13"/>
  <c r="G14" i="13"/>
  <c r="D14" i="13"/>
  <c r="I14" i="13"/>
  <c r="E9" i="13"/>
  <c r="F9" i="13"/>
  <c r="G9" i="13"/>
  <c r="D9" i="13"/>
  <c r="E12" i="13"/>
  <c r="F12" i="13"/>
  <c r="G12" i="13"/>
  <c r="D12" i="13"/>
  <c r="D10" i="13"/>
  <c r="D8" i="13" s="1"/>
  <c r="E5" i="13"/>
  <c r="F5" i="13"/>
  <c r="G5" i="13"/>
  <c r="D5" i="13"/>
  <c r="C35" i="13"/>
  <c r="C34" i="13"/>
  <c r="C33" i="13"/>
  <c r="I31" i="13"/>
  <c r="D29" i="13" l="1"/>
  <c r="D36" i="13" s="1"/>
  <c r="D13" i="13"/>
  <c r="D17" i="13"/>
  <c r="D7" i="13"/>
  <c r="E6" i="13" s="1"/>
  <c r="E10" i="13" s="1"/>
  <c r="E7" i="13" l="1"/>
  <c r="F6" i="13" s="1"/>
  <c r="F10" i="13" s="1"/>
  <c r="E17" i="13"/>
  <c r="E8" i="13"/>
  <c r="E13" i="13"/>
  <c r="F17" i="13" l="1"/>
  <c r="F13" i="13"/>
  <c r="F8" i="13"/>
  <c r="F7" i="13"/>
  <c r="G6" i="13" s="1"/>
  <c r="G10" i="13" s="1"/>
  <c r="G8" i="13" s="1"/>
  <c r="E19" i="13" l="1"/>
  <c r="E20" i="13" s="1"/>
  <c r="E22" i="13" s="1"/>
  <c r="E34" i="13" s="1"/>
  <c r="E32" i="13" s="1"/>
  <c r="E36" i="13" s="1"/>
  <c r="G7" i="13"/>
  <c r="G17" i="13"/>
  <c r="F19" i="13" s="1"/>
  <c r="F20" i="13" s="1"/>
  <c r="F22" i="13" s="1"/>
  <c r="F34" i="13" s="1"/>
  <c r="F32" i="13" s="1"/>
  <c r="F36" i="13" s="1"/>
  <c r="G13" i="13"/>
  <c r="I36" i="9" l="1"/>
  <c r="D53" i="9"/>
  <c r="D46" i="9"/>
  <c r="D45" i="9"/>
  <c r="D51" i="9"/>
  <c r="I34" i="9"/>
  <c r="D52" i="9"/>
  <c r="D50" i="9"/>
  <c r="D47" i="9"/>
  <c r="D38" i="9"/>
  <c r="D49" i="9"/>
  <c r="C61" i="9"/>
  <c r="D54" i="9"/>
  <c r="D35" i="9"/>
  <c r="D34" i="9"/>
  <c r="G7" i="9"/>
  <c r="C15" i="9"/>
  <c r="C19" i="9"/>
  <c r="C20" i="9"/>
  <c r="G4" i="9"/>
  <c r="H5" i="9"/>
  <c r="G3" i="9"/>
  <c r="G6" i="9"/>
  <c r="G8" i="9"/>
  <c r="C23" i="9"/>
  <c r="D5" i="10"/>
  <c r="C5" i="10"/>
  <c r="D4" i="10"/>
  <c r="C4" i="10"/>
  <c r="F29" i="7"/>
  <c r="F42" i="7"/>
  <c r="E30" i="7"/>
  <c r="D31" i="7"/>
  <c r="F43" i="7"/>
  <c r="F44" i="7"/>
  <c r="E4" i="7"/>
  <c r="F3" i="7"/>
  <c r="F4" i="7"/>
  <c r="F5" i="7"/>
  <c r="F6" i="7"/>
  <c r="E8" i="7"/>
  <c r="F7" i="7"/>
  <c r="F8" i="7"/>
  <c r="F9" i="7"/>
  <c r="F32" i="7"/>
  <c r="F45" i="7"/>
  <c r="D4" i="7"/>
  <c r="E3" i="7"/>
  <c r="E5" i="7"/>
  <c r="E6" i="7"/>
  <c r="D8" i="7"/>
  <c r="E7" i="7"/>
  <c r="E9" i="7"/>
  <c r="E33" i="7"/>
  <c r="C4" i="7"/>
  <c r="D3" i="7"/>
  <c r="D5" i="7"/>
  <c r="D6" i="7"/>
  <c r="C8" i="7"/>
  <c r="D7" i="7"/>
  <c r="D9" i="7"/>
  <c r="D34" i="7"/>
  <c r="F46" i="7"/>
  <c r="F13" i="7"/>
  <c r="F47" i="7"/>
  <c r="F48" i="7"/>
  <c r="F49" i="7"/>
  <c r="F50" i="7"/>
  <c r="E29" i="7"/>
  <c r="E42" i="7"/>
  <c r="D30" i="7"/>
  <c r="C31" i="7"/>
  <c r="E43" i="7"/>
  <c r="E44" i="7"/>
  <c r="E32" i="7"/>
  <c r="E45" i="7"/>
  <c r="D33" i="7"/>
  <c r="C3" i="7"/>
  <c r="C5" i="7"/>
  <c r="C6" i="7"/>
  <c r="C7" i="7"/>
  <c r="C9" i="7"/>
  <c r="C34" i="7"/>
  <c r="E46" i="7"/>
  <c r="E13" i="7"/>
  <c r="E47" i="7"/>
  <c r="E48" i="7"/>
  <c r="E49" i="7"/>
  <c r="E50" i="7"/>
  <c r="D29" i="7"/>
  <c r="D42" i="7"/>
  <c r="C30" i="7"/>
  <c r="D43" i="7"/>
  <c r="D44" i="7"/>
  <c r="D32" i="7"/>
  <c r="D45" i="7"/>
  <c r="C33" i="7"/>
  <c r="D46" i="7"/>
  <c r="D13" i="7"/>
  <c r="D47" i="7"/>
  <c r="D48" i="7"/>
  <c r="D49" i="7"/>
  <c r="D50" i="7"/>
  <c r="C29" i="7"/>
  <c r="C42" i="7"/>
  <c r="C44" i="7"/>
  <c r="C32" i="7"/>
  <c r="C45" i="7"/>
  <c r="C13" i="7"/>
  <c r="C47" i="7"/>
  <c r="C48" i="7"/>
  <c r="C49" i="7"/>
  <c r="C50" i="7"/>
  <c r="C18" i="7"/>
  <c r="C19" i="7"/>
  <c r="C20" i="7"/>
  <c r="C21" i="7"/>
  <c r="C22" i="7"/>
  <c r="D25" i="7"/>
  <c r="F30" i="7"/>
  <c r="D36" i="7"/>
  <c r="E36" i="7"/>
  <c r="F36" i="7"/>
  <c r="C36" i="7"/>
  <c r="E20" i="7"/>
  <c r="F20" i="7"/>
  <c r="B14" i="10"/>
  <c r="B16" i="10"/>
  <c r="B20" i="10"/>
  <c r="B21" i="10"/>
  <c r="B3" i="10"/>
  <c r="B8" i="10"/>
  <c r="B10" i="10"/>
  <c r="B31" i="10"/>
  <c r="C30" i="10"/>
  <c r="D30" i="10"/>
  <c r="I8" i="10"/>
  <c r="I10" i="10"/>
  <c r="C6" i="10"/>
  <c r="C3" i="10" s="1"/>
  <c r="C8" i="10" s="1"/>
  <c r="C25" i="10"/>
  <c r="D25" i="10" s="1"/>
  <c r="D6" i="10"/>
  <c r="I2" i="10"/>
  <c r="I5" i="10"/>
  <c r="C18" i="10" s="1"/>
  <c r="D18" i="10"/>
  <c r="D3" i="10"/>
  <c r="D26" i="10"/>
  <c r="C26" i="10"/>
  <c r="D17" i="10"/>
  <c r="B26" i="10"/>
  <c r="C17" i="10"/>
  <c r="E31" i="7"/>
  <c r="F31" i="7"/>
  <c r="B33" i="10"/>
  <c r="E19" i="7"/>
  <c r="F19" i="7"/>
  <c r="C13" i="10"/>
  <c r="B27" i="10"/>
  <c r="B28" i="10"/>
  <c r="F18" i="7"/>
  <c r="F34" i="7"/>
  <c r="F33" i="7"/>
  <c r="D18" i="7"/>
  <c r="F21" i="7"/>
  <c r="E34" i="7"/>
  <c r="E18" i="7"/>
  <c r="E21" i="7"/>
  <c r="F22" i="7"/>
  <c r="F26" i="7"/>
  <c r="F24" i="7"/>
  <c r="E22" i="7"/>
  <c r="E24" i="7"/>
  <c r="F25" i="7"/>
  <c r="F27" i="7"/>
  <c r="F37" i="7"/>
  <c r="F38" i="7"/>
  <c r="E26" i="7"/>
  <c r="C57" i="9"/>
  <c r="C58" i="9"/>
  <c r="C60" i="9"/>
  <c r="C4" i="9"/>
  <c r="C5" i="9"/>
  <c r="C46" i="9"/>
  <c r="C50" i="9"/>
  <c r="C51" i="9"/>
  <c r="C54" i="9"/>
  <c r="C35" i="9"/>
  <c r="C36" i="9"/>
  <c r="D48" i="9"/>
  <c r="D39" i="9"/>
  <c r="D37" i="9"/>
  <c r="D44" i="9"/>
  <c r="D43" i="9"/>
  <c r="C37" i="9"/>
  <c r="C6" i="9"/>
  <c r="C9" i="9"/>
  <c r="D36" i="9"/>
  <c r="D40" i="9"/>
  <c r="C40" i="9"/>
  <c r="D20" i="7"/>
  <c r="D19" i="7"/>
  <c r="D21" i="7"/>
  <c r="D24" i="7"/>
  <c r="C26" i="7"/>
  <c r="D22" i="7"/>
  <c r="E25" i="7"/>
  <c r="C51" i="7"/>
  <c r="D41" i="7"/>
  <c r="D51" i="7"/>
  <c r="E41" i="7"/>
  <c r="E51" i="7"/>
  <c r="F41" i="7"/>
  <c r="F51" i="7"/>
  <c r="C24" i="7"/>
  <c r="D26" i="7"/>
  <c r="E27" i="7"/>
  <c r="C27" i="7"/>
  <c r="C37" i="7"/>
  <c r="C38" i="7"/>
  <c r="E37" i="7"/>
  <c r="E38" i="7"/>
  <c r="D27" i="7"/>
  <c r="D37" i="7"/>
  <c r="D38" i="7"/>
  <c r="C9" i="10" l="1"/>
  <c r="C10" i="10" s="1"/>
  <c r="C32" i="10"/>
  <c r="C15" i="10" l="1"/>
  <c r="C16" i="10" s="1"/>
  <c r="C19" i="10"/>
  <c r="C20" i="10" s="1"/>
  <c r="D7" i="10"/>
  <c r="D8" i="10" s="1"/>
  <c r="D32" i="10"/>
  <c r="D9" i="10" l="1"/>
  <c r="D10" i="10"/>
  <c r="C31" i="10"/>
  <c r="C33" i="10" s="1"/>
  <c r="C21" i="10"/>
  <c r="C27" i="10" l="1"/>
  <c r="C28" i="10" s="1"/>
  <c r="D13" i="10"/>
  <c r="D15" i="10"/>
  <c r="D16" i="10" s="1"/>
  <c r="D19" i="10"/>
  <c r="D20" i="10" s="1"/>
  <c r="D31" i="10"/>
  <c r="D33" i="10" s="1"/>
  <c r="D21" i="10" l="1"/>
  <c r="D27" i="10" s="1"/>
  <c r="D28" i="10" s="1"/>
</calcChain>
</file>

<file path=xl/sharedStrings.xml><?xml version="1.0" encoding="utf-8"?>
<sst xmlns="http://schemas.openxmlformats.org/spreadsheetml/2006/main" count="1192" uniqueCount="303">
  <si>
    <t>Sales</t>
  </si>
  <si>
    <t>Cost of goods sold</t>
  </si>
  <si>
    <t>Gross margin</t>
  </si>
  <si>
    <t>Operating expenses</t>
  </si>
  <si>
    <t>P&amp;L</t>
  </si>
  <si>
    <t>Cash</t>
  </si>
  <si>
    <t>Inventory</t>
  </si>
  <si>
    <t>RM</t>
  </si>
  <si>
    <t>Labour</t>
  </si>
  <si>
    <t>F</t>
  </si>
  <si>
    <t>Sales Volume</t>
  </si>
  <si>
    <t>Total</t>
  </si>
  <si>
    <t>Usage</t>
  </si>
  <si>
    <t>N</t>
  </si>
  <si>
    <t>Purchase</t>
  </si>
  <si>
    <t>Volume</t>
  </si>
  <si>
    <t>Unit Price</t>
  </si>
  <si>
    <t>Op Inv</t>
  </si>
  <si>
    <t>Cl Inv</t>
  </si>
  <si>
    <t>Capacity</t>
  </si>
  <si>
    <t xml:space="preserve">Usage </t>
  </si>
  <si>
    <t>Price</t>
  </si>
  <si>
    <t>Credit</t>
  </si>
  <si>
    <t>Quantity</t>
  </si>
  <si>
    <t>Production</t>
  </si>
  <si>
    <t>N+1</t>
  </si>
  <si>
    <t>N+2</t>
  </si>
  <si>
    <t>N+3</t>
  </si>
  <si>
    <t>Purchase Vol</t>
  </si>
  <si>
    <t>Cash IN</t>
  </si>
  <si>
    <t>Cash OUT</t>
  </si>
  <si>
    <t>Cash Flow</t>
  </si>
  <si>
    <t>Contribution Margin</t>
  </si>
  <si>
    <t>Fixed Costs</t>
  </si>
  <si>
    <t>RM Used</t>
  </si>
  <si>
    <t>RM Cost</t>
  </si>
  <si>
    <t>A</t>
  </si>
  <si>
    <t>RM Unit Price</t>
  </si>
  <si>
    <t>RM Usage</t>
  </si>
  <si>
    <t>Actual Cost</t>
  </si>
  <si>
    <t>Labour Quantity</t>
  </si>
  <si>
    <t>Labour Cost</t>
  </si>
  <si>
    <t>Labour Unit Price</t>
  </si>
  <si>
    <t>Direct Labour</t>
  </si>
  <si>
    <t>Overhead Quantity</t>
  </si>
  <si>
    <t>Overhead Unit Price</t>
  </si>
  <si>
    <t>Overhead Cost</t>
  </si>
  <si>
    <t>Net Profit</t>
  </si>
  <si>
    <t>Costs</t>
  </si>
  <si>
    <t>Sales department</t>
  </si>
  <si>
    <t>Raw Material</t>
  </si>
  <si>
    <t>Increase was less than the increase in price but still, almost 7% higher should be explored (transpo, duties or supplier price ???)</t>
  </si>
  <si>
    <t>Learnt</t>
  </si>
  <si>
    <t>Assess and incorporate wastage in next budget. Wastage seems significant enough to change OI by +-3k euro</t>
  </si>
  <si>
    <t xml:space="preserve">Others possible </t>
  </si>
  <si>
    <t>eg fixed cost variance should not have happened (even if it was favorable here)</t>
  </si>
  <si>
    <t>October</t>
  </si>
  <si>
    <t>November</t>
  </si>
  <si>
    <t>December</t>
  </si>
  <si>
    <t>January</t>
  </si>
  <si>
    <t>February</t>
  </si>
  <si>
    <t>March</t>
  </si>
  <si>
    <t>1 Month</t>
  </si>
  <si>
    <t>2 Month</t>
  </si>
  <si>
    <t>0 Month</t>
  </si>
  <si>
    <t>Credit Cash</t>
  </si>
  <si>
    <t>Policy</t>
  </si>
  <si>
    <t>Month delay</t>
  </si>
  <si>
    <t>Month Credit</t>
  </si>
  <si>
    <t>Total Quantity</t>
  </si>
  <si>
    <t>Increase sales price</t>
  </si>
  <si>
    <t>Reduce credit terms</t>
  </si>
  <si>
    <t>Pay heaters with a delay</t>
  </si>
  <si>
    <t>Other possible</t>
  </si>
  <si>
    <t>Sales Number</t>
  </si>
  <si>
    <t>Opening Inventory</t>
  </si>
  <si>
    <t>Closing Inventory</t>
  </si>
  <si>
    <t>Production Number</t>
  </si>
  <si>
    <t>Usage Number</t>
  </si>
  <si>
    <t>Purchase Number</t>
  </si>
  <si>
    <t>Sales Price euros</t>
  </si>
  <si>
    <t>Purchase Price euros</t>
  </si>
  <si>
    <t>Fixed Overhead</t>
  </si>
  <si>
    <t>Note</t>
  </si>
  <si>
    <t>1 month</t>
  </si>
  <si>
    <t>2 month</t>
  </si>
  <si>
    <t>COGS</t>
  </si>
  <si>
    <t>COGM</t>
  </si>
  <si>
    <t>Overhead</t>
  </si>
  <si>
    <t>Cost/Unit</t>
  </si>
  <si>
    <t>Gross Profit</t>
  </si>
  <si>
    <t>Op Cash</t>
  </si>
  <si>
    <t>Cash Budget</t>
  </si>
  <si>
    <t>Cl Cash</t>
  </si>
  <si>
    <t>Sales Cash</t>
  </si>
  <si>
    <t>Sales Credit</t>
  </si>
  <si>
    <t>Purchase Cash</t>
  </si>
  <si>
    <t>Purchase Credit</t>
  </si>
  <si>
    <t>Overheads</t>
  </si>
  <si>
    <t>Other fixed costs</t>
  </si>
  <si>
    <t>Operating Expenses</t>
  </si>
  <si>
    <t>Marketing</t>
  </si>
  <si>
    <t>G&amp;A</t>
  </si>
  <si>
    <t>Operating Profit</t>
  </si>
  <si>
    <t>Purch</t>
  </si>
  <si>
    <t xml:space="preserve">Op </t>
  </si>
  <si>
    <t>Cl</t>
  </si>
  <si>
    <t>Depreciation</t>
  </si>
  <si>
    <t>Other</t>
  </si>
  <si>
    <t>Op</t>
  </si>
  <si>
    <t>Qte/FG</t>
  </si>
  <si>
    <t>DL</t>
  </si>
  <si>
    <t>FG Qte</t>
  </si>
  <si>
    <t>Unit Prod Cost</t>
  </si>
  <si>
    <t>Inv</t>
  </si>
  <si>
    <t>500kg</t>
  </si>
  <si>
    <t>Units</t>
  </si>
  <si>
    <t>€</t>
  </si>
  <si>
    <t>Variations</t>
  </si>
  <si>
    <t>Var</t>
  </si>
  <si>
    <t>New</t>
  </si>
  <si>
    <t>Income Statement (in K€)</t>
  </si>
  <si>
    <t>Financial expenses</t>
  </si>
  <si>
    <t>Earnings before tax</t>
  </si>
  <si>
    <t>Income tax</t>
  </si>
  <si>
    <t>Net profit</t>
  </si>
  <si>
    <t>Cash flow statement</t>
  </si>
  <si>
    <t>Opening cash balance</t>
  </si>
  <si>
    <t>Cash in</t>
  </si>
  <si>
    <t>Cash from operating activities (net)</t>
  </si>
  <si>
    <t>Total in</t>
  </si>
  <si>
    <t>Increase in Inventory</t>
  </si>
  <si>
    <t>Repayments of the loan</t>
  </si>
  <si>
    <t>Dividends</t>
  </si>
  <si>
    <t>Total out</t>
  </si>
  <si>
    <t>Ending cash balance</t>
  </si>
  <si>
    <t>Balance sheet</t>
  </si>
  <si>
    <t>Assets</t>
  </si>
  <si>
    <t xml:space="preserve">Land, Plants, Properties </t>
  </si>
  <si>
    <t xml:space="preserve">Inventory </t>
  </si>
  <si>
    <t>Total assets</t>
  </si>
  <si>
    <t>Liabilities</t>
  </si>
  <si>
    <t>Stockholders’ Equity</t>
  </si>
  <si>
    <t>Retained Earnings</t>
  </si>
  <si>
    <t>LT debt</t>
  </si>
  <si>
    <t>Total liabilities</t>
  </si>
  <si>
    <t>Variable Cost</t>
  </si>
  <si>
    <t>Fixed Cost</t>
  </si>
  <si>
    <t>Loan</t>
  </si>
  <si>
    <t>Value</t>
  </si>
  <si>
    <t>Rate</t>
  </si>
  <si>
    <t>Duration (years)</t>
  </si>
  <si>
    <t>Annual Paiement</t>
  </si>
  <si>
    <t>Annual Amortization</t>
  </si>
  <si>
    <t>kg/unit</t>
  </si>
  <si>
    <t>Labour per unit</t>
  </si>
  <si>
    <t>Sales done well as sold more than expected for same price</t>
  </si>
  <si>
    <t>Purchasing have paid more for higher quality goods but did not improve effiency with quality</t>
  </si>
  <si>
    <t>Purchsaing should have paid less for higher quantity used</t>
  </si>
  <si>
    <t>Labour paid less but false economy as worked less efficienctly</t>
  </si>
  <si>
    <t>Lack of efficiency (or higher rate) could be due to higher amount of work load.</t>
  </si>
  <si>
    <t>Fixed variance should not happen</t>
  </si>
  <si>
    <t>BUDGET</t>
  </si>
  <si>
    <t>Turnover</t>
  </si>
  <si>
    <t>Mix</t>
  </si>
  <si>
    <t>FLEXED</t>
  </si>
  <si>
    <t>ACTUAL</t>
  </si>
  <si>
    <t>P1</t>
  </si>
  <si>
    <t>P2</t>
  </si>
  <si>
    <t>Selling Price (€)</t>
  </si>
  <si>
    <t>Notes</t>
  </si>
  <si>
    <t>TOTAL</t>
  </si>
  <si>
    <t>Total sales variance</t>
  </si>
  <si>
    <t>Volume variance on sales</t>
  </si>
  <si>
    <t xml:space="preserve">Total volume var. </t>
  </si>
  <si>
    <t>Sales price variance</t>
  </si>
  <si>
    <t>Sales-Price Var.= (Actual SP pcu – Flexed Budgeted SP pcu) x Actual Q.</t>
  </si>
  <si>
    <t xml:space="preserve">Total price var. </t>
  </si>
  <si>
    <t>Sales mix variance</t>
  </si>
  <si>
    <t>Sales-Mix Var.= (Flexed BSP pcu - BSP pcu) x Actual Q.</t>
  </si>
  <si>
    <t>Sales quantity variance</t>
  </si>
  <si>
    <t>Sales-Quantity Var.= (AQS- BQS) x BSP pcu</t>
  </si>
  <si>
    <t>Market size variance</t>
  </si>
  <si>
    <t>Market size variance = (Actual market - Budget Market) * Market share % * budget SP</t>
  </si>
  <si>
    <t>Market share variance</t>
  </si>
  <si>
    <t>MULTIPLE VARIANCE</t>
  </si>
  <si>
    <t xml:space="preserve">Type </t>
  </si>
  <si>
    <t xml:space="preserve">VARIANCE ANALYSIS </t>
  </si>
  <si>
    <t>MARKET</t>
  </si>
  <si>
    <t>Type</t>
  </si>
  <si>
    <t>Forecast</t>
  </si>
  <si>
    <t xml:space="preserve">Actual </t>
  </si>
  <si>
    <t>Market share</t>
  </si>
  <si>
    <t>Actual turnover - Budget turnover</t>
  </si>
  <si>
    <t xml:space="preserve">Volume </t>
  </si>
  <si>
    <t>Actual volume - Budget volume</t>
  </si>
  <si>
    <t>Sales Quantity Variance on sales = (Actual Quantity Sold – Budget Quantity Sold) * Budget SP</t>
  </si>
  <si>
    <t>VARIANCE</t>
  </si>
  <si>
    <t xml:space="preserve">(Budgeted price - Actual price) * Actual quantity </t>
  </si>
  <si>
    <t>PROFIT RECONCILIATION STATEMENT</t>
  </si>
  <si>
    <t>Original Budget Profit</t>
  </si>
  <si>
    <t>Sales Vol. Var.</t>
  </si>
  <si>
    <t>Flexed Budget Profit</t>
  </si>
  <si>
    <t>Actual Profit</t>
  </si>
  <si>
    <t>STATIC BUDGET</t>
  </si>
  <si>
    <t>Bud. Sales Vol. (in Unit)</t>
  </si>
  <si>
    <t>Quantity per FG (usage)</t>
  </si>
  <si>
    <t>Budget standards (€/Unit)</t>
  </si>
  <si>
    <t>Bud. figures €</t>
  </si>
  <si>
    <t xml:space="preserve">Sales </t>
  </si>
  <si>
    <t>Prod. Materials</t>
  </si>
  <si>
    <t>ACTUAL BUDGET</t>
  </si>
  <si>
    <t>Act.. Sales Vol. (in Unit)</t>
  </si>
  <si>
    <t>Act. (€/Unit)</t>
  </si>
  <si>
    <t>FLEXED BUDGET</t>
  </si>
  <si>
    <t>Actual Sales Vol. (in Unit)</t>
  </si>
  <si>
    <t>Flexed turnover – Budget turnover</t>
  </si>
  <si>
    <t>Materials</t>
  </si>
  <si>
    <t>Fixed Ohd. Cost var.</t>
  </si>
  <si>
    <t>FLEXED ACTUAL BUDGET</t>
  </si>
  <si>
    <t>FLEXED ACT. BUD</t>
  </si>
  <si>
    <t>Sales turnover</t>
  </si>
  <si>
    <t xml:space="preserve">Sales Price Var. </t>
  </si>
  <si>
    <t>TOTAL VARIANCE</t>
  </si>
  <si>
    <t>Sales volume variance</t>
  </si>
  <si>
    <t xml:space="preserve">TOTAL VOLUME VAR. </t>
  </si>
  <si>
    <t>Other variable cost</t>
  </si>
  <si>
    <t>Price variance</t>
  </si>
  <si>
    <t>Usage variance</t>
  </si>
  <si>
    <t xml:space="preserve">TOTAL PRICE VAR. </t>
  </si>
  <si>
    <t xml:space="preserve">TOTAL USAGE VAR. </t>
  </si>
  <si>
    <t>Volume variance = - (Flexed cost – Budget cost)</t>
  </si>
  <si>
    <t>Volume variance</t>
  </si>
  <si>
    <t>Variable cost (DL)</t>
  </si>
  <si>
    <t>Total variance</t>
  </si>
  <si>
    <t>Variable overhead</t>
  </si>
  <si>
    <t>Other fixed cost</t>
  </si>
  <si>
    <t>Op. inv.</t>
  </si>
  <si>
    <t>End. Inv.</t>
  </si>
  <si>
    <t>End. inv.</t>
  </si>
  <si>
    <t>FG</t>
  </si>
  <si>
    <t>RM 2</t>
  </si>
  <si>
    <t>End. FG</t>
  </si>
  <si>
    <t>End. Inv</t>
  </si>
  <si>
    <t>Op. Inv</t>
  </si>
  <si>
    <t>Op. FG</t>
  </si>
  <si>
    <t xml:space="preserve">Ending policy </t>
  </si>
  <si>
    <t>Price FG</t>
  </si>
  <si>
    <t>Policy of next month usage</t>
  </si>
  <si>
    <t>Price RM</t>
  </si>
  <si>
    <t>Variable cost variance</t>
  </si>
  <si>
    <t>Fixed cost variance</t>
  </si>
  <si>
    <t>Profit variance = Actual profit - Budget profit</t>
  </si>
  <si>
    <t>J</t>
  </si>
  <si>
    <t>M</t>
  </si>
  <si>
    <t>Usage (h/unit)</t>
  </si>
  <si>
    <t>Rate (€/h)</t>
  </si>
  <si>
    <t>Total time (h)</t>
  </si>
  <si>
    <r>
      <rPr>
        <sz val="14"/>
        <color rgb="FFFF0000"/>
        <rFont val="Times New Roman"/>
        <family val="1"/>
      </rPr>
      <t xml:space="preserve"> </t>
    </r>
    <r>
      <rPr>
        <b/>
        <sz val="14"/>
        <color rgb="FFFF0000"/>
        <rFont val="Calibri Light"/>
        <family val="2"/>
      </rPr>
      <t>Price variance = (Budgeted price - Actual price) * Actual usage * Actual quantity</t>
    </r>
  </si>
  <si>
    <t>Usage variance = (Budget usage - Actual usage) * Budgeted price * Actual quantity</t>
  </si>
  <si>
    <t>of which price</t>
  </si>
  <si>
    <t>of which sales</t>
  </si>
  <si>
    <t>of which costs</t>
  </si>
  <si>
    <t>Sales Variance</t>
  </si>
  <si>
    <t>Variable cost (DL) Var.</t>
  </si>
  <si>
    <t>Variable cost (RM) Var.</t>
  </si>
  <si>
    <t>of which quantity</t>
  </si>
  <si>
    <t>of which efficiency</t>
  </si>
  <si>
    <t>of which rate</t>
  </si>
  <si>
    <t>Fixed Ohd. Cost Var.</t>
  </si>
  <si>
    <t>Poor - Investigate</t>
  </si>
  <si>
    <t>Assumptions about price elasticities were off, higher prices led to lower contribution margin</t>
  </si>
  <si>
    <t>Receipts from credit sales</t>
  </si>
  <si>
    <t>Q1</t>
  </si>
  <si>
    <t>Q2</t>
  </si>
  <si>
    <t>Q3</t>
  </si>
  <si>
    <t xml:space="preserve"> Payments for credit purchase</t>
  </si>
  <si>
    <t>Q4</t>
  </si>
  <si>
    <t>CASH FLOW</t>
  </si>
  <si>
    <t>Policy cash sales</t>
  </si>
  <si>
    <t>Policy credit sales</t>
  </si>
  <si>
    <t>Calculate profit with no interets</t>
  </si>
  <si>
    <t>End of year N</t>
  </si>
  <si>
    <t>End of year N+1</t>
  </si>
  <si>
    <t>End of year N+2</t>
  </si>
  <si>
    <t>Sales revenue</t>
  </si>
  <si>
    <t>variable cost</t>
  </si>
  <si>
    <t xml:space="preserve"> fixed cost</t>
  </si>
  <si>
    <t>operating profit</t>
  </si>
  <si>
    <t>operating profit x Income tax rate</t>
  </si>
  <si>
    <t>= NOPAT (Net Operating Profit After (income) Tax)</t>
  </si>
  <si>
    <t>Indirect Cash Flow</t>
  </si>
  <si>
    <t>NOPAT (Net Operating Profit After (income) Tax)</t>
  </si>
  <si>
    <t>+Depreciation</t>
  </si>
  <si>
    <t>=EBITDA</t>
  </si>
  <si>
    <t>- Increase / + Decrease in Operating WC or WC requirement</t>
  </si>
  <si>
    <t>= Operating cash flow (CF0)</t>
  </si>
  <si>
    <t>- Net CAPEX (Capital Expenditure)</t>
  </si>
  <si>
    <t>= Free cash flow</t>
  </si>
  <si>
    <t>on sales</t>
  </si>
  <si>
    <t>on RM</t>
  </si>
  <si>
    <t>on DL</t>
  </si>
  <si>
    <t>of which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</si>
</sst>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-[$€-2]\ * #,##0_-;\-[$€-2]\ * #,##0_-;_-[$€-2]\ * &quot;-&quot;??_-;_-@_-"/>
    <numFmt numFmtId="165" formatCode="_-* #,##0_-;\-* #,##0_-;_-* &quot;-&quot;??_-;_-@_-"/>
    <numFmt numFmtId="166" formatCode="#,##0\ _€"/>
    <numFmt numFmtId="167" formatCode="_-* #,##0.00\ [$€-40C]_-;\-* #,##0.00\ [$€-40C]_-;_-* &quot;-&quot;??\ [$€-40C]_-;_-@_-"/>
    <numFmt numFmtId="168" formatCode="#,##0.0"/>
    <numFmt numFmtId="169" formatCode="_ * #,##0.00_)\ _€_ ;_ * \(#,##0.00\)\ _€_ ;_ * &quot;-&quot;??_)\ _€_ ;_ @_ "/>
    <numFmt numFmtId="170" formatCode="_([$$-409]* #,##0.00_);_([$$-409]* \(#,##0.00\);_([$$-409]* &quot;-&quot;??_);_(@_)"/>
    <numFmt numFmtId="171" formatCode="_ * #,##0_)\ _€_ ;_ * \(#,##0\)\ _€_ ;_ * &quot;-&quot;??_)\ _€_ ;_ @_ "/>
    <numFmt numFmtId="172" formatCode="_-* #,##0.00\ _€_-;\-* #,##0.00\ _€_-;_-* &quot;-&quot;??\ _€_-;_-@_-"/>
    <numFmt numFmtId="173" formatCode="#,##0\ &quot;€&quot;"/>
    <numFmt numFmtId="175" formatCode="0.0"/>
  </numFmts>
  <fonts count="40">
    <font>
      <sz val="11"/>
      <color theme="1"/>
      <name val="Avenir LT Std 55 Roman"/>
      <family val="2"/>
    </font>
    <font>
      <sz val="11"/>
      <color theme="1"/>
      <name val="Calibri"/>
      <family val="2"/>
      <scheme val="minor"/>
    </font>
    <font>
      <sz val="11"/>
      <color theme="1"/>
      <name val="Avenir LT Std 55 Roman"/>
      <family val="2"/>
    </font>
    <font>
      <b/>
      <sz val="11"/>
      <color theme="1"/>
      <name val="Avenir LT Std 55 Roman"/>
      <family val="2"/>
    </font>
    <font>
      <sz val="8"/>
      <name val="Avenir LT Std 55 Roman"/>
      <family val="2"/>
    </font>
    <font>
      <sz val="11"/>
      <color rgb="FFFF0000"/>
      <name val="Avenir LT Std 55 Roman"/>
      <family val="2"/>
    </font>
    <font>
      <sz val="11"/>
      <name val="Avenir LT Std 55 Roman"/>
      <family val="2"/>
    </font>
    <font>
      <b/>
      <u/>
      <sz val="14"/>
      <color theme="1"/>
      <name val="Avenir LT Std 55 Roman"/>
      <family val="2"/>
    </font>
    <font>
      <sz val="11"/>
      <color theme="1"/>
      <name val="Calibri"/>
      <family val="2"/>
      <scheme val="minor"/>
    </font>
    <font>
      <b/>
      <sz val="10"/>
      <color rgb="FFFF0000"/>
      <name val="Calibri Light"/>
      <family val="2"/>
      <scheme val="major"/>
    </font>
    <font>
      <sz val="26"/>
      <name val="Avenir Book"/>
      <family val="2"/>
    </font>
    <font>
      <b/>
      <sz val="11"/>
      <color theme="1"/>
      <name val="Avenir LT Std 55 Roman"/>
    </font>
    <font>
      <b/>
      <sz val="12"/>
      <name val="Calibri"/>
      <family val="2"/>
      <scheme val="minor"/>
    </font>
    <font>
      <i/>
      <sz val="11"/>
      <color theme="1"/>
      <name val="Avenir LT Std 55 Roman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Avenir LT Std 55 Roman"/>
    </font>
    <font>
      <b/>
      <sz val="11"/>
      <color theme="4"/>
      <name val="Avenir LT Std 55 Roman"/>
    </font>
    <font>
      <b/>
      <sz val="14"/>
      <color theme="1"/>
      <name val="Avenir LT Std 55 Roman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FF0000"/>
      <name val="Calibri Light"/>
      <family val="2"/>
    </font>
    <font>
      <sz val="11"/>
      <color rgb="FFFF0000"/>
      <name val="Calibri"/>
      <family val="1"/>
    </font>
    <font>
      <sz val="14"/>
      <color rgb="FFFF0000"/>
      <name val="Calibri"/>
      <family val="1"/>
    </font>
    <font>
      <sz val="14"/>
      <color rgb="FFFF0000"/>
      <name val="Times New Roman"/>
      <family val="1"/>
    </font>
    <font>
      <sz val="14"/>
      <color rgb="FFFF0000"/>
      <name val="Calibri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Avenir LT Std 55 Roman"/>
    </font>
    <font>
      <i/>
      <sz val="12"/>
      <color theme="1"/>
      <name val="Avenir LT Std 55 Roman"/>
    </font>
    <font>
      <b/>
      <i/>
      <sz val="14"/>
      <color theme="1"/>
      <name val="Avenir LT Std 55 Roman"/>
    </font>
    <font>
      <b/>
      <sz val="18"/>
      <color theme="1"/>
      <name val="Avenir LT Std 55 Roman"/>
    </font>
    <font>
      <b/>
      <sz val="11"/>
      <color theme="8" tint="-0.249977111117893"/>
      <name val="Avenir LT Std 55 Roman"/>
    </font>
    <font>
      <sz val="11"/>
      <color rgb="FFFF0000"/>
      <name val="Avenir LT Std 55 Roman"/>
    </font>
    <font>
      <b/>
      <sz val="11"/>
      <color theme="1"/>
      <name val="Calibri"/>
      <family val="2"/>
      <scheme val="minor"/>
    </font>
    <font>
      <b/>
      <i/>
      <sz val="11"/>
      <color rgb="FF000000"/>
      <name val="Times New Roman"/>
      <family val="1"/>
    </font>
    <font>
      <b/>
      <i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72" fontId="1" fillId="0" borderId="0" applyFont="0" applyFill="0" applyBorder="0" applyAlignment="0" applyProtection="0"/>
  </cellStyleXfs>
  <cellXfs count="448">
    <xf numFmtId="0" fontId="0" fillId="0" borderId="0" xfId="0"/>
    <xf numFmtId="0" fontId="0" fillId="0" borderId="1" xfId="0" applyBorder="1"/>
    <xf numFmtId="165" fontId="0" fillId="0" borderId="0" xfId="0" applyNumberFormat="1"/>
    <xf numFmtId="0" fontId="3" fillId="0" borderId="1" xfId="0" applyFont="1" applyBorder="1"/>
    <xf numFmtId="165" fontId="0" fillId="0" borderId="1" xfId="1" applyNumberFormat="1" applyFont="1" applyBorder="1"/>
    <xf numFmtId="165" fontId="3" fillId="0" borderId="1" xfId="1" applyNumberFormat="1" applyFont="1" applyBorder="1"/>
    <xf numFmtId="0" fontId="0" fillId="0" borderId="1" xfId="0" applyBorder="1" applyAlignment="1">
      <alignment horizontal="center" vertical="center"/>
    </xf>
    <xf numFmtId="165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165" fontId="3" fillId="0" borderId="1" xfId="0" applyNumberFormat="1" applyFont="1" applyBorder="1"/>
    <xf numFmtId="0" fontId="0" fillId="0" borderId="1" xfId="0" applyBorder="1" applyAlignment="1">
      <alignment horizontal="center" vertical="center"/>
    </xf>
    <xf numFmtId="165" fontId="0" fillId="0" borderId="1" xfId="0" applyNumberFormat="1" applyFont="1" applyBorder="1"/>
    <xf numFmtId="0" fontId="0" fillId="0" borderId="0" xfId="0" applyAlignment="1">
      <alignment horizontal="right"/>
    </xf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/>
    <xf numFmtId="165" fontId="0" fillId="0" borderId="1" xfId="0" applyNumberFormat="1" applyBorder="1" applyAlignment="1"/>
    <xf numFmtId="165" fontId="0" fillId="2" borderId="1" xfId="1" applyNumberFormat="1" applyFont="1" applyFill="1" applyBorder="1"/>
    <xf numFmtId="165" fontId="0" fillId="0" borderId="1" xfId="1" applyNumberFormat="1" applyFont="1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3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1" fontId="0" fillId="2" borderId="1" xfId="0" applyNumberFormat="1" applyFill="1" applyBorder="1" applyAlignment="1">
      <alignment vertical="center"/>
    </xf>
    <xf numFmtId="9" fontId="0" fillId="2" borderId="1" xfId="0" applyNumberFormat="1" applyFill="1" applyBorder="1"/>
    <xf numFmtId="165" fontId="0" fillId="0" borderId="1" xfId="1" applyNumberFormat="1" applyFon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43" fontId="0" fillId="0" borderId="1" xfId="1" applyNumberFormat="1" applyFont="1" applyFill="1" applyBorder="1" applyAlignment="1">
      <alignment horizontal="right" vertical="center"/>
    </xf>
    <xf numFmtId="43" fontId="0" fillId="0" borderId="1" xfId="1" applyNumberFormat="1" applyFon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3" fillId="0" borderId="1" xfId="0" applyFont="1" applyFill="1" applyBorder="1"/>
    <xf numFmtId="0" fontId="3" fillId="2" borderId="1" xfId="0" applyFont="1" applyFill="1" applyBorder="1"/>
    <xf numFmtId="9" fontId="3" fillId="2" borderId="1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9" fillId="0" borderId="0" xfId="0" applyFont="1" applyAlignment="1">
      <alignment vertical="center" readingOrder="1"/>
    </xf>
    <xf numFmtId="0" fontId="11" fillId="0" borderId="7" xfId="0" applyFont="1" applyBorder="1"/>
    <xf numFmtId="0" fontId="11" fillId="0" borderId="2" xfId="0" applyFont="1" applyBorder="1"/>
    <xf numFmtId="9" fontId="0" fillId="0" borderId="0" xfId="2" applyFont="1" applyBorder="1"/>
    <xf numFmtId="0" fontId="0" fillId="4" borderId="10" xfId="0" applyFill="1" applyBorder="1"/>
    <xf numFmtId="0" fontId="0" fillId="4" borderId="9" xfId="0" applyFill="1" applyBorder="1"/>
    <xf numFmtId="0" fontId="11" fillId="0" borderId="3" xfId="0" applyFont="1" applyFill="1" applyBorder="1"/>
    <xf numFmtId="9" fontId="0" fillId="0" borderId="4" xfId="2" applyFont="1" applyBorder="1"/>
    <xf numFmtId="9" fontId="0" fillId="4" borderId="5" xfId="0" applyNumberFormat="1" applyFill="1" applyBorder="1"/>
    <xf numFmtId="0" fontId="0" fillId="0" borderId="0" xfId="0" applyNumberFormat="1"/>
    <xf numFmtId="0" fontId="8" fillId="0" borderId="0" xfId="0" applyFont="1"/>
    <xf numFmtId="0" fontId="11" fillId="0" borderId="6" xfId="0" applyFont="1" applyBorder="1"/>
    <xf numFmtId="0" fontId="11" fillId="0" borderId="16" xfId="0" applyFont="1" applyBorder="1"/>
    <xf numFmtId="0" fontId="11" fillId="0" borderId="12" xfId="0" applyFont="1" applyBorder="1"/>
    <xf numFmtId="0" fontId="0" fillId="0" borderId="17" xfId="0" applyBorder="1"/>
    <xf numFmtId="0" fontId="0" fillId="0" borderId="19" xfId="0" applyBorder="1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6" borderId="10" xfId="0" applyFill="1" applyBorder="1"/>
    <xf numFmtId="0" fontId="0" fillId="6" borderId="9" xfId="0" applyFill="1" applyBorder="1"/>
    <xf numFmtId="0" fontId="0" fillId="6" borderId="11" xfId="0" applyFill="1" applyBorder="1"/>
    <xf numFmtId="0" fontId="0" fillId="0" borderId="0" xfId="0" applyAlignment="1">
      <alignment vertical="center"/>
    </xf>
    <xf numFmtId="0" fontId="0" fillId="0" borderId="0" xfId="0" applyNumberFormat="1" applyBorder="1"/>
    <xf numFmtId="0" fontId="0" fillId="4" borderId="9" xfId="0" applyNumberFormat="1" applyFill="1" applyBorder="1"/>
    <xf numFmtId="0" fontId="11" fillId="0" borderId="2" xfId="0" applyNumberFormat="1" applyFont="1" applyBorder="1"/>
    <xf numFmtId="0" fontId="0" fillId="0" borderId="14" xfId="0" applyNumberFormat="1" applyBorder="1"/>
    <xf numFmtId="0" fontId="0" fillId="4" borderId="11" xfId="0" applyNumberFormat="1" applyFill="1" applyBorder="1"/>
    <xf numFmtId="2" fontId="0" fillId="0" borderId="0" xfId="0" applyNumberFormat="1"/>
    <xf numFmtId="0" fontId="0" fillId="0" borderId="9" xfId="0" applyBorder="1"/>
    <xf numFmtId="0" fontId="0" fillId="0" borderId="11" xfId="0" applyBorder="1"/>
    <xf numFmtId="0" fontId="20" fillId="0" borderId="0" xfId="0" applyFont="1"/>
    <xf numFmtId="0" fontId="20" fillId="0" borderId="15" xfId="0" applyFont="1" applyBorder="1"/>
    <xf numFmtId="0" fontId="20" fillId="0" borderId="0" xfId="0" applyFont="1" applyBorder="1"/>
    <xf numFmtId="3" fontId="20" fillId="0" borderId="0" xfId="0" applyNumberFormat="1" applyFont="1" applyBorder="1"/>
    <xf numFmtId="0" fontId="11" fillId="0" borderId="1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5" fontId="11" fillId="6" borderId="1" xfId="1" applyNumberFormat="1" applyFont="1" applyFill="1" applyBorder="1" applyAlignment="1">
      <alignment horizontal="right" vertical="center"/>
    </xf>
    <xf numFmtId="165" fontId="11" fillId="6" borderId="1" xfId="0" applyNumberFormat="1" applyFont="1" applyFill="1" applyBorder="1" applyAlignment="1">
      <alignment horizontal="right" vertical="center"/>
    </xf>
    <xf numFmtId="1" fontId="11" fillId="3" borderId="12" xfId="0" applyNumberFormat="1" applyFont="1" applyFill="1" applyBorder="1" applyAlignment="1">
      <alignment horizontal="center" vertical="center"/>
    </xf>
    <xf numFmtId="0" fontId="11" fillId="0" borderId="1" xfId="0" applyFont="1" applyBorder="1"/>
    <xf numFmtId="165" fontId="11" fillId="0" borderId="1" xfId="1" applyNumberFormat="1" applyFont="1" applyFill="1" applyBorder="1" applyAlignment="1">
      <alignment horizontal="right" vertical="center"/>
    </xf>
    <xf numFmtId="169" fontId="0" fillId="0" borderId="1" xfId="1" applyNumberFormat="1" applyFont="1" applyFill="1" applyBorder="1" applyAlignment="1">
      <alignment horizontal="right" vertical="center"/>
    </xf>
    <xf numFmtId="165" fontId="0" fillId="0" borderId="1" xfId="1" applyNumberFormat="1" applyFont="1" applyFill="1" applyBorder="1" applyAlignment="1">
      <alignment horizontal="right" vertical="center"/>
    </xf>
    <xf numFmtId="3" fontId="21" fillId="0" borderId="0" xfId="0" applyNumberFormat="1" applyFont="1" applyBorder="1"/>
    <xf numFmtId="167" fontId="16" fillId="0" borderId="0" xfId="0" applyNumberFormat="1" applyFont="1" applyBorder="1" applyAlignment="1">
      <alignment vertical="center"/>
    </xf>
    <xf numFmtId="0" fontId="16" fillId="0" borderId="0" xfId="0" applyNumberFormat="1" applyFont="1" applyBorder="1" applyAlignment="1">
      <alignment vertical="center"/>
    </xf>
    <xf numFmtId="0" fontId="11" fillId="0" borderId="0" xfId="0" applyNumberFormat="1" applyFont="1" applyBorder="1" applyAlignment="1">
      <alignment vertical="center"/>
    </xf>
    <xf numFmtId="167" fontId="1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17" fillId="0" borderId="0" xfId="0" applyFont="1" applyBorder="1"/>
    <xf numFmtId="1" fontId="0" fillId="0" borderId="0" xfId="0" applyNumberFormat="1" applyBorder="1"/>
    <xf numFmtId="1" fontId="17" fillId="0" borderId="0" xfId="0" applyNumberFormat="1" applyFont="1" applyBorder="1"/>
    <xf numFmtId="0" fontId="0" fillId="0" borderId="2" xfId="0" applyBorder="1"/>
    <xf numFmtId="0" fontId="0" fillId="0" borderId="2" xfId="0" applyNumberFormat="1" applyBorder="1"/>
    <xf numFmtId="0" fontId="0" fillId="0" borderId="8" xfId="0" applyBorder="1" applyAlignment="1">
      <alignment vertical="center"/>
    </xf>
    <xf numFmtId="0" fontId="11" fillId="0" borderId="13" xfId="0" applyFont="1" applyBorder="1" applyAlignment="1">
      <alignment horizontal="center"/>
    </xf>
    <xf numFmtId="0" fontId="0" fillId="0" borderId="14" xfId="0" applyBorder="1" applyAlignment="1">
      <alignment vertical="center"/>
    </xf>
    <xf numFmtId="0" fontId="11" fillId="0" borderId="10" xfId="0" applyFont="1" applyBorder="1" applyAlignment="1">
      <alignment horizontal="center"/>
    </xf>
    <xf numFmtId="0" fontId="17" fillId="0" borderId="9" xfId="0" applyFont="1" applyBorder="1"/>
    <xf numFmtId="0" fontId="17" fillId="0" borderId="9" xfId="0" applyNumberFormat="1" applyFont="1" applyBorder="1"/>
    <xf numFmtId="0" fontId="0" fillId="0" borderId="11" xfId="0" applyBorder="1" applyAlignment="1">
      <alignment vertical="center"/>
    </xf>
    <xf numFmtId="1" fontId="0" fillId="0" borderId="2" xfId="0" applyNumberFormat="1" applyBorder="1"/>
    <xf numFmtId="0" fontId="0" fillId="0" borderId="10" xfId="0" applyBorder="1"/>
    <xf numFmtId="0" fontId="0" fillId="0" borderId="9" xfId="0" applyNumberFormat="1" applyBorder="1"/>
    <xf numFmtId="0" fontId="13" fillId="0" borderId="3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65" fontId="0" fillId="0" borderId="2" xfId="0" applyNumberFormat="1" applyBorder="1"/>
    <xf numFmtId="165" fontId="0" fillId="0" borderId="0" xfId="0" applyNumberFormat="1" applyBorder="1"/>
    <xf numFmtId="0" fontId="13" fillId="0" borderId="4" xfId="0" applyFont="1" applyBorder="1" applyAlignment="1">
      <alignment horizontal="center"/>
    </xf>
    <xf numFmtId="0" fontId="0" fillId="0" borderId="7" xfId="0" applyBorder="1"/>
    <xf numFmtId="0" fontId="16" fillId="0" borderId="13" xfId="0" applyFont="1" applyBorder="1"/>
    <xf numFmtId="0" fontId="17" fillId="0" borderId="13" xfId="0" applyFont="1" applyBorder="1"/>
    <xf numFmtId="0" fontId="0" fillId="0" borderId="30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31" xfId="0" applyBorder="1" applyAlignment="1">
      <alignment vertical="center"/>
    </xf>
    <xf numFmtId="0" fontId="17" fillId="0" borderId="32" xfId="0" applyFont="1" applyBorder="1"/>
    <xf numFmtId="165" fontId="17" fillId="0" borderId="22" xfId="0" applyNumberFormat="1" applyFont="1" applyBorder="1"/>
    <xf numFmtId="0" fontId="0" fillId="0" borderId="23" xfId="0" applyBorder="1" applyAlignment="1">
      <alignment vertical="center"/>
    </xf>
    <xf numFmtId="0" fontId="0" fillId="0" borderId="33" xfId="0" applyBorder="1"/>
    <xf numFmtId="165" fontId="0" fillId="0" borderId="34" xfId="0" applyNumberFormat="1" applyBorder="1"/>
    <xf numFmtId="0" fontId="0" fillId="0" borderId="35" xfId="0" applyBorder="1" applyAlignment="1">
      <alignment vertical="center"/>
    </xf>
    <xf numFmtId="0" fontId="19" fillId="0" borderId="15" xfId="0" applyFont="1" applyBorder="1"/>
    <xf numFmtId="0" fontId="19" fillId="0" borderId="3" xfId="0" applyFont="1" applyBorder="1" applyAlignment="1">
      <alignment horizontal="center"/>
    </xf>
    <xf numFmtId="0" fontId="19" fillId="0" borderId="24" xfId="0" applyFont="1" applyBorder="1"/>
    <xf numFmtId="3" fontId="19" fillId="0" borderId="7" xfId="0" applyNumberFormat="1" applyFont="1" applyBorder="1"/>
    <xf numFmtId="3" fontId="19" fillId="0" borderId="2" xfId="0" applyNumberFormat="1" applyFont="1" applyBorder="1"/>
    <xf numFmtId="3" fontId="19" fillId="0" borderId="13" xfId="0" applyNumberFormat="1" applyFont="1" applyBorder="1"/>
    <xf numFmtId="0" fontId="19" fillId="0" borderId="13" xfId="0" applyFont="1" applyBorder="1"/>
    <xf numFmtId="3" fontId="19" fillId="0" borderId="0" xfId="0" applyNumberFormat="1" applyFont="1"/>
    <xf numFmtId="0" fontId="19" fillId="8" borderId="24" xfId="0" applyFont="1" applyFill="1" applyBorder="1"/>
    <xf numFmtId="0" fontId="19" fillId="8" borderId="10" xfId="0" applyFont="1" applyFill="1" applyBorder="1"/>
    <xf numFmtId="0" fontId="19" fillId="8" borderId="9" xfId="0" applyFont="1" applyFill="1" applyBorder="1"/>
    <xf numFmtId="3" fontId="19" fillId="8" borderId="9" xfId="0" applyNumberFormat="1" applyFont="1" applyFill="1" applyBorder="1"/>
    <xf numFmtId="3" fontId="27" fillId="0" borderId="0" xfId="0" applyNumberFormat="1" applyFont="1"/>
    <xf numFmtId="0" fontId="19" fillId="0" borderId="0" xfId="0" applyFont="1" applyBorder="1"/>
    <xf numFmtId="3" fontId="19" fillId="0" borderId="0" xfId="0" applyNumberFormat="1" applyFont="1" applyBorder="1"/>
    <xf numFmtId="0" fontId="19" fillId="0" borderId="4" xfId="0" applyFont="1" applyBorder="1" applyAlignment="1">
      <alignment horizontal="center"/>
    </xf>
    <xf numFmtId="0" fontId="19" fillId="0" borderId="36" xfId="0" applyFont="1" applyBorder="1" applyAlignment="1">
      <alignment horizontal="center"/>
    </xf>
    <xf numFmtId="3" fontId="19" fillId="0" borderId="30" xfId="0" applyNumberFormat="1" applyFont="1" applyBorder="1"/>
    <xf numFmtId="168" fontId="19" fillId="0" borderId="0" xfId="0" applyNumberFormat="1" applyFont="1" applyBorder="1"/>
    <xf numFmtId="3" fontId="19" fillId="0" borderId="20" xfId="0" applyNumberFormat="1" applyFont="1" applyBorder="1"/>
    <xf numFmtId="3" fontId="27" fillId="8" borderId="31" xfId="0" applyNumberFormat="1" applyFont="1" applyFill="1" applyBorder="1"/>
    <xf numFmtId="0" fontId="19" fillId="0" borderId="20" xfId="0" applyFont="1" applyBorder="1"/>
    <xf numFmtId="3" fontId="27" fillId="0" borderId="20" xfId="0" applyNumberFormat="1" applyFont="1" applyBorder="1"/>
    <xf numFmtId="0" fontId="19" fillId="0" borderId="37" xfId="0" applyFont="1" applyBorder="1" applyAlignment="1">
      <alignment horizontal="center"/>
    </xf>
    <xf numFmtId="0" fontId="19" fillId="8" borderId="38" xfId="0" applyFont="1" applyFill="1" applyBorder="1"/>
    <xf numFmtId="0" fontId="19" fillId="8" borderId="32" xfId="0" applyFont="1" applyFill="1" applyBorder="1"/>
    <xf numFmtId="0" fontId="19" fillId="8" borderId="22" xfId="0" applyFont="1" applyFill="1" applyBorder="1"/>
    <xf numFmtId="3" fontId="19" fillId="8" borderId="22" xfId="0" applyNumberFormat="1" applyFont="1" applyFill="1" applyBorder="1"/>
    <xf numFmtId="3" fontId="27" fillId="8" borderId="23" xfId="0" applyNumberFormat="1" applyFont="1" applyFill="1" applyBorder="1"/>
    <xf numFmtId="0" fontId="27" fillId="0" borderId="24" xfId="0" applyFont="1" applyBorder="1"/>
    <xf numFmtId="0" fontId="27" fillId="0" borderId="26" xfId="0" applyFont="1" applyBorder="1"/>
    <xf numFmtId="0" fontId="27" fillId="0" borderId="0" xfId="0" applyFont="1" applyBorder="1"/>
    <xf numFmtId="165" fontId="0" fillId="0" borderId="1" xfId="0" applyNumberForma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3" fontId="0" fillId="0" borderId="1" xfId="0" applyNumberFormat="1" applyFill="1" applyBorder="1" applyAlignment="1">
      <alignment horizontal="right" vertical="center"/>
    </xf>
    <xf numFmtId="1" fontId="11" fillId="11" borderId="1" xfId="0" applyNumberFormat="1" applyFont="1" applyFill="1" applyBorder="1" applyAlignment="1">
      <alignment horizontal="center" vertical="center"/>
    </xf>
    <xf numFmtId="1" fontId="11" fillId="12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1" fontId="11" fillId="10" borderId="1" xfId="0" applyNumberFormat="1" applyFon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right" vertical="center"/>
    </xf>
    <xf numFmtId="165" fontId="11" fillId="10" borderId="1" xfId="0" applyNumberFormat="1" applyFont="1" applyFill="1" applyBorder="1" applyAlignment="1">
      <alignment horizontal="right" vertical="center"/>
    </xf>
    <xf numFmtId="0" fontId="26" fillId="0" borderId="0" xfId="0" applyFont="1" applyAlignment="1">
      <alignment vertical="center"/>
    </xf>
    <xf numFmtId="3" fontId="28" fillId="10" borderId="28" xfId="0" applyNumberFormat="1" applyFont="1" applyFill="1" applyBorder="1"/>
    <xf numFmtId="3" fontId="0" fillId="0" borderId="0" xfId="0" applyNumberFormat="1" applyBorder="1"/>
    <xf numFmtId="0" fontId="28" fillId="10" borderId="27" xfId="0" applyFont="1" applyFill="1" applyBorder="1"/>
    <xf numFmtId="0" fontId="19" fillId="0" borderId="26" xfId="0" applyFont="1" applyBorder="1"/>
    <xf numFmtId="0" fontId="14" fillId="0" borderId="0" xfId="0" applyFont="1" applyAlignment="1">
      <alignment vertical="center" readingOrder="1"/>
    </xf>
    <xf numFmtId="0" fontId="15" fillId="0" borderId="0" xfId="0" applyFont="1" applyAlignment="1">
      <alignment vertical="center" readingOrder="1"/>
    </xf>
    <xf numFmtId="0" fontId="0" fillId="0" borderId="0" xfId="0" applyAlignment="1">
      <alignment horizontal="left"/>
    </xf>
    <xf numFmtId="0" fontId="0" fillId="0" borderId="25" xfId="0" applyBorder="1"/>
    <xf numFmtId="165" fontId="0" fillId="0" borderId="9" xfId="0" applyNumberFormat="1" applyBorder="1"/>
    <xf numFmtId="3" fontId="0" fillId="6" borderId="11" xfId="0" applyNumberFormat="1" applyFill="1" applyBorder="1"/>
    <xf numFmtId="170" fontId="0" fillId="0" borderId="1" xfId="1" applyNumberFormat="1" applyFont="1" applyBorder="1" applyAlignment="1">
      <alignment horizontal="center" vertical="center"/>
    </xf>
    <xf numFmtId="170" fontId="11" fillId="0" borderId="1" xfId="1" applyNumberFormat="1" applyFont="1" applyBorder="1" applyAlignment="1">
      <alignment horizontal="center" vertical="center"/>
    </xf>
    <xf numFmtId="170" fontId="11" fillId="4" borderId="1" xfId="1" applyNumberFormat="1" applyFont="1" applyFill="1" applyBorder="1" applyAlignment="1">
      <alignment horizontal="center" vertical="center"/>
    </xf>
    <xf numFmtId="170" fontId="3" fillId="9" borderId="1" xfId="1" applyNumberFormat="1" applyFont="1" applyFill="1" applyBorder="1" applyAlignment="1">
      <alignment horizontal="center" vertical="center"/>
    </xf>
    <xf numFmtId="170" fontId="0" fillId="9" borderId="1" xfId="1" applyNumberFormat="1" applyFont="1" applyFill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1" fontId="0" fillId="0" borderId="1" xfId="0" applyNumberFormat="1" applyBorder="1" applyAlignment="1">
      <alignment vertical="center"/>
    </xf>
    <xf numFmtId="165" fontId="0" fillId="6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5" fontId="0" fillId="15" borderId="1" xfId="1" applyNumberFormat="1" applyFont="1" applyFill="1" applyBorder="1"/>
    <xf numFmtId="168" fontId="19" fillId="0" borderId="2" xfId="0" applyNumberFormat="1" applyFont="1" applyBorder="1"/>
    <xf numFmtId="0" fontId="32" fillId="0" borderId="15" xfId="0" applyFont="1" applyBorder="1" applyAlignment="1">
      <alignment vertical="center"/>
    </xf>
    <xf numFmtId="1" fontId="32" fillId="0" borderId="2" xfId="0" applyNumberFormat="1" applyFont="1" applyBorder="1" applyAlignment="1">
      <alignment vertical="center"/>
    </xf>
    <xf numFmtId="2" fontId="31" fillId="3" borderId="2" xfId="0" applyNumberFormat="1" applyFont="1" applyFill="1" applyBorder="1" applyAlignment="1">
      <alignment horizontal="left" vertical="center"/>
    </xf>
    <xf numFmtId="0" fontId="31" fillId="3" borderId="30" xfId="0" applyFont="1" applyFill="1" applyBorder="1" applyAlignment="1">
      <alignment vertical="center"/>
    </xf>
    <xf numFmtId="1" fontId="31" fillId="3" borderId="2" xfId="0" applyNumberFormat="1" applyFont="1" applyFill="1" applyBorder="1" applyAlignment="1">
      <alignment vertical="center"/>
    </xf>
    <xf numFmtId="165" fontId="31" fillId="3" borderId="2" xfId="0" applyNumberFormat="1" applyFont="1" applyFill="1" applyBorder="1" applyAlignment="1">
      <alignment vertical="center"/>
    </xf>
    <xf numFmtId="0" fontId="32" fillId="0" borderId="30" xfId="0" applyNumberFormat="1" applyFont="1" applyBorder="1" applyAlignment="1">
      <alignment vertical="center"/>
    </xf>
    <xf numFmtId="4" fontId="19" fillId="0" borderId="0" xfId="0" applyNumberFormat="1" applyFont="1" applyBorder="1"/>
    <xf numFmtId="0" fontId="0" fillId="3" borderId="1" xfId="0" applyFill="1" applyBorder="1"/>
    <xf numFmtId="164" fontId="0" fillId="3" borderId="1" xfId="0" applyNumberFormat="1" applyFill="1" applyBorder="1"/>
    <xf numFmtId="165" fontId="0" fillId="3" borderId="1" xfId="1" applyNumberFormat="1" applyFont="1" applyFill="1" applyBorder="1"/>
    <xf numFmtId="0" fontId="0" fillId="16" borderId="1" xfId="0" applyFill="1" applyBorder="1"/>
    <xf numFmtId="165" fontId="0" fillId="16" borderId="1" xfId="1" applyNumberFormat="1" applyFont="1" applyFill="1" applyBorder="1"/>
    <xf numFmtId="0" fontId="3" fillId="16" borderId="1" xfId="0" applyFont="1" applyFill="1" applyBorder="1"/>
    <xf numFmtId="165" fontId="3" fillId="16" borderId="1" xfId="1" applyNumberFormat="1" applyFont="1" applyFill="1" applyBorder="1"/>
    <xf numFmtId="165" fontId="0" fillId="3" borderId="1" xfId="0" applyNumberFormat="1" applyFill="1" applyBorder="1"/>
    <xf numFmtId="0" fontId="11" fillId="3" borderId="1" xfId="0" applyFont="1" applyFill="1" applyBorder="1"/>
    <xf numFmtId="0" fontId="11" fillId="3" borderId="1" xfId="0" applyFont="1" applyFill="1" applyBorder="1" applyAlignment="1"/>
    <xf numFmtId="0" fontId="0" fillId="17" borderId="1" xfId="0" applyFill="1" applyBorder="1"/>
    <xf numFmtId="165" fontId="0" fillId="17" borderId="1" xfId="0" applyNumberFormat="1" applyFill="1" applyBorder="1"/>
    <xf numFmtId="0" fontId="33" fillId="0" borderId="25" xfId="0" applyFont="1" applyBorder="1" applyAlignment="1">
      <alignment vertical="center"/>
    </xf>
    <xf numFmtId="0" fontId="36" fillId="0" borderId="0" xfId="0" applyFont="1"/>
    <xf numFmtId="165" fontId="19" fillId="0" borderId="13" xfId="0" applyNumberFormat="1" applyFont="1" applyBorder="1"/>
    <xf numFmtId="43" fontId="19" fillId="0" borderId="0" xfId="0" applyNumberFormat="1" applyFont="1" applyBorder="1"/>
    <xf numFmtId="172" fontId="0" fillId="0" borderId="0" xfId="0" applyNumberFormat="1"/>
    <xf numFmtId="0" fontId="0" fillId="0" borderId="4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30" fillId="0" borderId="0" xfId="0" applyFont="1" applyAlignment="1">
      <alignment horizontal="left" vertical="center" readingOrder="1"/>
    </xf>
    <xf numFmtId="0" fontId="23" fillId="0" borderId="0" xfId="0" applyFont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5" fontId="0" fillId="17" borderId="1" xfId="0" applyNumberFormat="1" applyFill="1" applyBorder="1" applyAlignment="1">
      <alignment horizontal="center" vertical="center"/>
    </xf>
    <xf numFmtId="0" fontId="0" fillId="0" borderId="1" xfId="0" applyFill="1" applyBorder="1"/>
    <xf numFmtId="1" fontId="0" fillId="0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1" fillId="0" borderId="1" xfId="0" applyFont="1" applyFill="1" applyBorder="1"/>
    <xf numFmtId="165" fontId="11" fillId="0" borderId="1" xfId="1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43" fontId="0" fillId="0" borderId="1" xfId="1" applyFont="1" applyFill="1" applyBorder="1" applyAlignment="1">
      <alignment horizontal="right" vertical="center"/>
    </xf>
    <xf numFmtId="43" fontId="0" fillId="0" borderId="1" xfId="1" applyFont="1" applyBorder="1" applyAlignment="1">
      <alignment horizontal="right" vertical="center"/>
    </xf>
    <xf numFmtId="3" fontId="0" fillId="0" borderId="1" xfId="0" applyNumberFormat="1" applyBorder="1" applyAlignment="1">
      <alignment horizontal="right" vertical="center"/>
    </xf>
    <xf numFmtId="0" fontId="0" fillId="0" borderId="4" xfId="0" applyBorder="1"/>
    <xf numFmtId="43" fontId="19" fillId="0" borderId="0" xfId="0" applyNumberFormat="1" applyFont="1"/>
    <xf numFmtId="4" fontId="19" fillId="0" borderId="0" xfId="0" applyNumberFormat="1" applyFont="1"/>
    <xf numFmtId="0" fontId="19" fillId="0" borderId="0" xfId="0" applyFont="1"/>
    <xf numFmtId="168" fontId="19" fillId="0" borderId="0" xfId="0" applyNumberFormat="1" applyFont="1"/>
    <xf numFmtId="3" fontId="20" fillId="0" borderId="0" xfId="0" applyNumberFormat="1" applyFont="1"/>
    <xf numFmtId="165" fontId="17" fillId="0" borderId="0" xfId="0" applyNumberFormat="1" applyFont="1"/>
    <xf numFmtId="165" fontId="35" fillId="0" borderId="0" xfId="0" applyNumberFormat="1" applyFont="1"/>
    <xf numFmtId="165" fontId="16" fillId="0" borderId="0" xfId="0" applyNumberFormat="1" applyFont="1"/>
    <xf numFmtId="0" fontId="32" fillId="0" borderId="30" xfId="0" applyFont="1" applyBorder="1" applyAlignment="1">
      <alignment vertical="center"/>
    </xf>
    <xf numFmtId="3" fontId="27" fillId="0" borderId="8" xfId="0" applyNumberFormat="1" applyFont="1" applyBorder="1"/>
    <xf numFmtId="3" fontId="19" fillId="0" borderId="14" xfId="0" applyNumberFormat="1" applyFont="1" applyBorder="1"/>
    <xf numFmtId="3" fontId="27" fillId="0" borderId="14" xfId="0" applyNumberFormat="1" applyFont="1" applyBorder="1"/>
    <xf numFmtId="0" fontId="27" fillId="0" borderId="0" xfId="0" applyFont="1"/>
    <xf numFmtId="3" fontId="21" fillId="0" borderId="0" xfId="0" applyNumberFormat="1" applyFont="1"/>
    <xf numFmtId="0" fontId="19" fillId="0" borderId="24" xfId="0" applyFont="1" applyBorder="1" applyAlignment="1">
      <alignment horizontal="right"/>
    </xf>
    <xf numFmtId="2" fontId="27" fillId="0" borderId="8" xfId="0" applyNumberFormat="1" applyFont="1" applyFill="1" applyBorder="1"/>
    <xf numFmtId="2" fontId="19" fillId="0" borderId="14" xfId="0" applyNumberFormat="1" applyFont="1" applyFill="1" applyBorder="1"/>
    <xf numFmtId="2" fontId="27" fillId="0" borderId="14" xfId="0" applyNumberFormat="1" applyFont="1" applyFill="1" applyBorder="1"/>
    <xf numFmtId="3" fontId="27" fillId="0" borderId="0" xfId="0" applyNumberFormat="1" applyFont="1" applyAlignment="1">
      <alignment horizontal="left" vertical="center"/>
    </xf>
    <xf numFmtId="3" fontId="19" fillId="0" borderId="0" xfId="0" applyNumberFormat="1" applyFont="1" applyFill="1" applyAlignment="1">
      <alignment horizontal="left" vertical="center"/>
    </xf>
    <xf numFmtId="3" fontId="19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9" fillId="0" borderId="24" xfId="0" applyFont="1" applyFill="1" applyBorder="1" applyAlignment="1">
      <alignment horizontal="center"/>
    </xf>
    <xf numFmtId="2" fontId="1" fillId="0" borderId="4" xfId="0" applyNumberFormat="1" applyFont="1" applyBorder="1"/>
    <xf numFmtId="0" fontId="27" fillId="0" borderId="24" xfId="0" applyFont="1" applyBorder="1" applyAlignment="1">
      <alignment horizontal="left"/>
    </xf>
    <xf numFmtId="2" fontId="1" fillId="0" borderId="13" xfId="0" applyNumberFormat="1" applyFont="1" applyBorder="1"/>
    <xf numFmtId="2" fontId="37" fillId="0" borderId="14" xfId="0" applyNumberFormat="1" applyFont="1" applyBorder="1"/>
    <xf numFmtId="2" fontId="19" fillId="0" borderId="0" xfId="0" applyNumberFormat="1" applyFont="1" applyFill="1" applyBorder="1"/>
    <xf numFmtId="0" fontId="37" fillId="0" borderId="0" xfId="0" applyFont="1"/>
    <xf numFmtId="165" fontId="0" fillId="3" borderId="1" xfId="0" applyNumberFormat="1" applyFill="1" applyBorder="1" applyAlignmen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30" fillId="0" borderId="0" xfId="0" applyFont="1" applyAlignment="1">
      <alignment horizontal="left" vertical="center" readingOrder="1"/>
    </xf>
    <xf numFmtId="0" fontId="23" fillId="0" borderId="0" xfId="0" applyFont="1" applyBorder="1" applyAlignment="1">
      <alignment horizontal="center" vertical="center"/>
    </xf>
    <xf numFmtId="166" fontId="10" fillId="0" borderId="0" xfId="0" applyNumberFormat="1" applyFont="1" applyAlignment="1">
      <alignment horizontal="center" vertical="center" shrinkToFit="1"/>
    </xf>
    <xf numFmtId="0" fontId="14" fillId="0" borderId="0" xfId="0" applyFont="1" applyAlignment="1">
      <alignment horizontal="center" vertical="center" readingOrder="1"/>
    </xf>
    <xf numFmtId="0" fontId="18" fillId="0" borderId="0" xfId="0" applyFont="1" applyBorder="1" applyAlignment="1">
      <alignment horizontal="center" vertical="center"/>
    </xf>
    <xf numFmtId="165" fontId="0" fillId="7" borderId="1" xfId="0" applyNumberFormat="1" applyFill="1" applyBorder="1"/>
    <xf numFmtId="0" fontId="3" fillId="3" borderId="1" xfId="0" applyFont="1" applyFill="1" applyBorder="1"/>
    <xf numFmtId="0" fontId="3" fillId="0" borderId="6" xfId="0" applyFont="1" applyFill="1" applyBorder="1"/>
    <xf numFmtId="0" fontId="0" fillId="0" borderId="6" xfId="0" applyBorder="1"/>
    <xf numFmtId="0" fontId="38" fillId="0" borderId="9" xfId="0" applyFont="1" applyBorder="1" applyAlignment="1">
      <alignment vertical="center" wrapText="1"/>
    </xf>
    <xf numFmtId="173" fontId="0" fillId="0" borderId="0" xfId="0" applyNumberFormat="1"/>
    <xf numFmtId="0" fontId="0" fillId="0" borderId="0" xfId="0" quotePrefix="1"/>
    <xf numFmtId="0" fontId="39" fillId="0" borderId="9" xfId="0" applyFont="1" applyBorder="1"/>
    <xf numFmtId="0" fontId="0" fillId="0" borderId="1" xfId="1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/>
    </xf>
    <xf numFmtId="166" fontId="10" fillId="0" borderId="15" xfId="0" applyNumberFormat="1" applyFont="1" applyBorder="1" applyAlignment="1">
      <alignment horizontal="center" vertical="center" shrinkToFit="1"/>
    </xf>
    <xf numFmtId="166" fontId="10" fillId="0" borderId="0" xfId="0" applyNumberFormat="1" applyFont="1" applyAlignment="1">
      <alignment horizontal="center" vertical="center" shrinkToFit="1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0" borderId="1" xfId="0" applyBorder="1" applyAlignment="1">
      <alignment horizontal="right"/>
    </xf>
    <xf numFmtId="0" fontId="3" fillId="3" borderId="1" xfId="0" applyFont="1" applyFill="1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0" fillId="2" borderId="1" xfId="1" applyNumberFormat="1" applyFont="1" applyFill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65" fontId="0" fillId="3" borderId="6" xfId="1" applyNumberFormat="1" applyFont="1" applyFill="1" applyBorder="1" applyAlignment="1">
      <alignment horizontal="center" vertical="center"/>
    </xf>
    <xf numFmtId="165" fontId="0" fillId="3" borderId="1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4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 readingOrder="1"/>
    </xf>
    <xf numFmtId="0" fontId="30" fillId="0" borderId="0" xfId="0" applyFont="1" applyAlignment="1">
      <alignment horizontal="left" vertical="center" readingOrder="1"/>
    </xf>
    <xf numFmtId="0" fontId="13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3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29" fillId="5" borderId="15" xfId="0" applyFont="1" applyFill="1" applyBorder="1" applyAlignment="1">
      <alignment horizontal="center" vertical="center"/>
    </xf>
    <xf numFmtId="0" fontId="29" fillId="5" borderId="0" xfId="0" applyFont="1" applyFill="1" applyBorder="1" applyAlignment="1">
      <alignment horizontal="center" vertical="center"/>
    </xf>
    <xf numFmtId="166" fontId="10" fillId="0" borderId="0" xfId="0" applyNumberFormat="1" applyFont="1" applyBorder="1" applyAlignment="1">
      <alignment horizontal="center" vertical="center" shrinkToFit="1"/>
    </xf>
    <xf numFmtId="0" fontId="34" fillId="0" borderId="17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15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2" fillId="0" borderId="39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/>
    </xf>
    <xf numFmtId="0" fontId="27" fillId="14" borderId="25" xfId="0" applyFont="1" applyFill="1" applyBorder="1" applyAlignment="1">
      <alignment horizontal="center" vertical="center"/>
    </xf>
    <xf numFmtId="0" fontId="27" fillId="14" borderId="9" xfId="0" applyFont="1" applyFill="1" applyBorder="1" applyAlignment="1">
      <alignment horizontal="center" vertical="center"/>
    </xf>
    <xf numFmtId="0" fontId="27" fillId="14" borderId="31" xfId="0" applyFont="1" applyFill="1" applyBorder="1" applyAlignment="1">
      <alignment horizontal="center" vertical="center"/>
    </xf>
    <xf numFmtId="0" fontId="27" fillId="7" borderId="17" xfId="0" applyFont="1" applyFill="1" applyBorder="1" applyAlignment="1">
      <alignment horizontal="center" vertical="center"/>
    </xf>
    <xf numFmtId="0" fontId="27" fillId="7" borderId="18" xfId="0" applyFont="1" applyFill="1" applyBorder="1" applyAlignment="1">
      <alignment horizontal="center" vertical="center"/>
    </xf>
    <xf numFmtId="0" fontId="27" fillId="7" borderId="19" xfId="0" applyFont="1" applyFill="1" applyBorder="1" applyAlignment="1">
      <alignment horizontal="center" vertical="center"/>
    </xf>
    <xf numFmtId="0" fontId="27" fillId="11" borderId="15" xfId="0" applyFont="1" applyFill="1" applyBorder="1" applyAlignment="1">
      <alignment horizontal="center" vertical="center"/>
    </xf>
    <xf numFmtId="0" fontId="27" fillId="11" borderId="0" xfId="0" applyFont="1" applyFill="1" applyBorder="1" applyAlignment="1">
      <alignment horizontal="center" vertical="center"/>
    </xf>
    <xf numFmtId="0" fontId="27" fillId="11" borderId="20" xfId="0" applyFont="1" applyFill="1" applyBorder="1" applyAlignment="1">
      <alignment horizontal="center" vertical="center"/>
    </xf>
    <xf numFmtId="0" fontId="27" fillId="13" borderId="15" xfId="0" applyFont="1" applyFill="1" applyBorder="1" applyAlignment="1">
      <alignment horizontal="center" vertical="center"/>
    </xf>
    <xf numFmtId="0" fontId="27" fillId="13" borderId="0" xfId="0" applyFont="1" applyFill="1" applyBorder="1" applyAlignment="1">
      <alignment horizontal="center" vertical="center"/>
    </xf>
    <xf numFmtId="0" fontId="27" fillId="13" borderId="20" xfId="0" applyFont="1" applyFill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2" fillId="5" borderId="1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readingOrder="1"/>
    </xf>
    <xf numFmtId="0" fontId="18" fillId="0" borderId="0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27" fillId="11" borderId="0" xfId="0" applyFont="1" applyFill="1" applyAlignment="1">
      <alignment horizontal="center" vertical="center"/>
    </xf>
    <xf numFmtId="0" fontId="27" fillId="1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9" fontId="0" fillId="0" borderId="6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175" fontId="0" fillId="4" borderId="9" xfId="0" applyNumberFormat="1" applyFill="1" applyBorder="1"/>
  </cellXfs>
  <cellStyles count="5">
    <cellStyle name="Milliers" xfId="1" builtinId="3"/>
    <cellStyle name="Milliers 2" xfId="4" xr:uid="{75BD7EBF-72FD-46BD-9E7A-07BB9158F420}"/>
    <cellStyle name="Normal" xfId="0" builtinId="0"/>
    <cellStyle name="Normal 2" xfId="3" xr:uid="{A1998606-3B39-420F-BAC4-6D3D98C81868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6D40D-990F-4CE5-B4D6-AF5E685E35C3}">
  <dimension ref="A1:L23"/>
  <sheetViews>
    <sheetView zoomScale="70" zoomScaleNormal="70" workbookViewId="0">
      <selection activeCell="F29" sqref="F29"/>
    </sheetView>
  </sheetViews>
  <sheetFormatPr baseColWidth="10" defaultColWidth="8.796875" defaultRowHeight="13.8"/>
  <cols>
    <col min="1" max="1" width="9.69921875" bestFit="1" customWidth="1"/>
    <col min="2" max="2" width="5.69921875" bestFit="1" customWidth="1"/>
    <col min="3" max="3" width="7.796875" bestFit="1" customWidth="1"/>
    <col min="4" max="4" width="4.69921875" bestFit="1" customWidth="1"/>
    <col min="5" max="5" width="8.69921875" bestFit="1" customWidth="1"/>
    <col min="6" max="6" width="9.69921875" bestFit="1" customWidth="1"/>
    <col min="7" max="7" width="9.5" bestFit="1" customWidth="1"/>
    <col min="8" max="10" width="8.69921875" bestFit="1" customWidth="1"/>
  </cols>
  <sheetData>
    <row r="1" spans="1:10" ht="32.4">
      <c r="A1" s="311" t="s">
        <v>278</v>
      </c>
      <c r="B1" s="312"/>
      <c r="C1" s="312"/>
      <c r="D1" s="312"/>
      <c r="E1" s="312"/>
      <c r="F1" s="312"/>
      <c r="G1" s="312"/>
      <c r="H1" s="312"/>
      <c r="I1" s="312"/>
      <c r="J1" s="312"/>
    </row>
    <row r="2" spans="1:10" ht="32.4">
      <c r="A2" s="298"/>
      <c r="B2" s="298"/>
      <c r="C2" s="298"/>
      <c r="D2" s="298"/>
      <c r="E2" s="298"/>
      <c r="F2" s="298"/>
      <c r="G2" s="298"/>
      <c r="H2" s="298"/>
      <c r="I2" s="298"/>
      <c r="J2" s="298"/>
    </row>
    <row r="3" spans="1:10">
      <c r="A3" s="313"/>
      <c r="B3" s="314"/>
      <c r="C3" s="314"/>
      <c r="D3" s="315"/>
      <c r="E3" s="319">
        <v>2013</v>
      </c>
      <c r="F3" s="319"/>
      <c r="G3" s="319"/>
      <c r="H3" s="319">
        <v>2014</v>
      </c>
      <c r="I3" s="319"/>
      <c r="J3" s="319"/>
    </row>
    <row r="4" spans="1:10">
      <c r="A4" s="316"/>
      <c r="B4" s="317"/>
      <c r="C4" s="317"/>
      <c r="D4" s="318"/>
      <c r="E4" s="1" t="s">
        <v>56</v>
      </c>
      <c r="F4" s="1" t="s">
        <v>57</v>
      </c>
      <c r="G4" s="1" t="s">
        <v>58</v>
      </c>
      <c r="H4" s="1" t="s">
        <v>59</v>
      </c>
      <c r="I4" s="1" t="s">
        <v>60</v>
      </c>
      <c r="J4" s="1" t="s">
        <v>61</v>
      </c>
    </row>
    <row r="5" spans="1:10">
      <c r="A5" s="320" t="s">
        <v>0</v>
      </c>
      <c r="B5" s="320"/>
      <c r="C5" s="320"/>
      <c r="D5" s="320"/>
      <c r="E5" s="19">
        <v>250000</v>
      </c>
      <c r="F5" s="19">
        <v>240000</v>
      </c>
      <c r="G5" s="19">
        <v>260000</v>
      </c>
      <c r="H5" s="19">
        <v>180000</v>
      </c>
      <c r="I5" s="19">
        <v>210000</v>
      </c>
      <c r="J5" s="19">
        <v>230000</v>
      </c>
    </row>
    <row r="6" spans="1:10">
      <c r="A6" s="326" t="s">
        <v>22</v>
      </c>
      <c r="B6" s="324">
        <v>0.6</v>
      </c>
      <c r="C6" s="1" t="s">
        <v>64</v>
      </c>
      <c r="D6" s="44">
        <v>0.5</v>
      </c>
      <c r="E6" s="7">
        <f>$B$6*$D6*E$5</f>
        <v>75000</v>
      </c>
      <c r="F6" s="7">
        <f>$B$6*$D6*F$5</f>
        <v>72000</v>
      </c>
      <c r="G6" s="7">
        <f t="shared" ref="F6:J8" si="0">$B$6*$D6*G$5</f>
        <v>78000</v>
      </c>
      <c r="H6" s="7">
        <f t="shared" si="0"/>
        <v>54000</v>
      </c>
      <c r="I6" s="7">
        <f t="shared" si="0"/>
        <v>63000</v>
      </c>
      <c r="J6" s="7">
        <f t="shared" si="0"/>
        <v>69000</v>
      </c>
    </row>
    <row r="7" spans="1:10">
      <c r="A7" s="326"/>
      <c r="B7" s="327"/>
      <c r="C7" s="1" t="s">
        <v>62</v>
      </c>
      <c r="D7" s="44">
        <v>0.3</v>
      </c>
      <c r="E7" s="7">
        <f>$B$6*$D7*E$5</f>
        <v>45000</v>
      </c>
      <c r="F7" s="7">
        <f t="shared" si="0"/>
        <v>43200</v>
      </c>
      <c r="G7" s="7">
        <f t="shared" si="0"/>
        <v>46800</v>
      </c>
      <c r="H7" s="7">
        <f t="shared" si="0"/>
        <v>32400</v>
      </c>
      <c r="I7" s="7">
        <f t="shared" si="0"/>
        <v>37800</v>
      </c>
      <c r="J7" s="7">
        <f t="shared" si="0"/>
        <v>41400</v>
      </c>
    </row>
    <row r="8" spans="1:10">
      <c r="A8" s="326"/>
      <c r="B8" s="327"/>
      <c r="C8" s="1" t="s">
        <v>63</v>
      </c>
      <c r="D8" s="44">
        <f>1-D6-D7</f>
        <v>0.2</v>
      </c>
      <c r="E8" s="7">
        <f>$B$6*$D8*E$5</f>
        <v>30000</v>
      </c>
      <c r="F8" s="7">
        <f t="shared" si="0"/>
        <v>28800</v>
      </c>
      <c r="G8" s="7">
        <f t="shared" si="0"/>
        <v>31200</v>
      </c>
      <c r="H8" s="7">
        <f t="shared" si="0"/>
        <v>21600</v>
      </c>
      <c r="I8" s="7">
        <f t="shared" si="0"/>
        <v>25200</v>
      </c>
      <c r="J8" s="7">
        <f t="shared" si="0"/>
        <v>27600</v>
      </c>
    </row>
    <row r="9" spans="1:10">
      <c r="A9" s="291" t="s">
        <v>5</v>
      </c>
      <c r="B9" s="324">
        <f>1-B6</f>
        <v>0.4</v>
      </c>
      <c r="C9" s="324"/>
      <c r="D9" s="324"/>
      <c r="E9" s="7">
        <f>$B$9*E5</f>
        <v>100000</v>
      </c>
      <c r="F9" s="7">
        <f t="shared" ref="F9:I9" si="1">$B$9*F5</f>
        <v>96000</v>
      </c>
      <c r="G9" s="7">
        <f t="shared" si="1"/>
        <v>104000</v>
      </c>
      <c r="H9" s="7">
        <f t="shared" si="1"/>
        <v>72000</v>
      </c>
      <c r="I9" s="7">
        <f t="shared" si="1"/>
        <v>84000</v>
      </c>
      <c r="J9" s="7">
        <f>$B$9*J5</f>
        <v>92000</v>
      </c>
    </row>
    <row r="10" spans="1:10">
      <c r="A10" s="325" t="s">
        <v>14</v>
      </c>
      <c r="B10" s="325"/>
      <c r="C10" s="325"/>
      <c r="D10" s="44">
        <v>0.7</v>
      </c>
      <c r="E10" s="7">
        <f>$D$10*E5</f>
        <v>175000</v>
      </c>
      <c r="F10" s="7">
        <f t="shared" ref="F10:I10" si="2">$D$10*F5</f>
        <v>168000</v>
      </c>
      <c r="G10" s="7">
        <f t="shared" si="2"/>
        <v>182000</v>
      </c>
      <c r="H10" s="7">
        <f t="shared" si="2"/>
        <v>125999.99999999999</v>
      </c>
      <c r="I10" s="7">
        <f t="shared" si="2"/>
        <v>147000</v>
      </c>
      <c r="J10" s="7">
        <f>$D$10*J5</f>
        <v>161000</v>
      </c>
    </row>
    <row r="11" spans="1:10">
      <c r="A11" s="326" t="s">
        <v>22</v>
      </c>
      <c r="B11" s="324">
        <v>1</v>
      </c>
      <c r="C11" s="1" t="s">
        <v>64</v>
      </c>
      <c r="D11" s="44">
        <v>0</v>
      </c>
      <c r="E11" s="7">
        <f>E$10*$D11*$B$11</f>
        <v>0</v>
      </c>
      <c r="F11" s="7">
        <f t="shared" ref="F11:J13" si="3">F$10*$D11*$B$11</f>
        <v>0</v>
      </c>
      <c r="G11" s="7">
        <f t="shared" si="3"/>
        <v>0</v>
      </c>
      <c r="H11" s="7">
        <f t="shared" si="3"/>
        <v>0</v>
      </c>
      <c r="I11" s="7">
        <f t="shared" si="3"/>
        <v>0</v>
      </c>
      <c r="J11" s="7">
        <f t="shared" si="3"/>
        <v>0</v>
      </c>
    </row>
    <row r="12" spans="1:10">
      <c r="A12" s="326"/>
      <c r="B12" s="327"/>
      <c r="C12" s="1" t="s">
        <v>62</v>
      </c>
      <c r="D12" s="44">
        <v>0.65</v>
      </c>
      <c r="E12" s="7">
        <f>E$10*$D12*$B$11</f>
        <v>113750</v>
      </c>
      <c r="F12" s="7">
        <f t="shared" si="3"/>
        <v>109200</v>
      </c>
      <c r="G12" s="7">
        <f t="shared" si="3"/>
        <v>118300</v>
      </c>
      <c r="H12" s="7">
        <f t="shared" si="3"/>
        <v>81900</v>
      </c>
      <c r="I12" s="7">
        <f t="shared" si="3"/>
        <v>95550</v>
      </c>
      <c r="J12" s="7">
        <f t="shared" si="3"/>
        <v>104650</v>
      </c>
    </row>
    <row r="13" spans="1:10">
      <c r="A13" s="326"/>
      <c r="B13" s="327"/>
      <c r="C13" s="1" t="s">
        <v>63</v>
      </c>
      <c r="D13" s="44">
        <f>1-D11-D12</f>
        <v>0.35</v>
      </c>
      <c r="E13" s="7">
        <f t="shared" ref="E13" si="4">E$10*$D13*$B$11</f>
        <v>61249.999999999993</v>
      </c>
      <c r="F13" s="7">
        <f t="shared" si="3"/>
        <v>58799.999999999993</v>
      </c>
      <c r="G13" s="7">
        <f t="shared" si="3"/>
        <v>63699.999999999993</v>
      </c>
      <c r="H13" s="7">
        <f t="shared" si="3"/>
        <v>44099.999999999993</v>
      </c>
      <c r="I13" s="7">
        <f t="shared" si="3"/>
        <v>51450</v>
      </c>
      <c r="J13" s="7">
        <f t="shared" si="3"/>
        <v>56350</v>
      </c>
    </row>
    <row r="14" spans="1:10">
      <c r="A14" s="291" t="s">
        <v>5</v>
      </c>
      <c r="B14" s="324">
        <f>1-B11</f>
        <v>0</v>
      </c>
      <c r="C14" s="324"/>
      <c r="D14" s="324"/>
      <c r="E14" s="7">
        <f>E10*$B$14</f>
        <v>0</v>
      </c>
      <c r="F14" s="7">
        <f t="shared" ref="F14:J14" si="5">F10*$B$14</f>
        <v>0</v>
      </c>
      <c r="G14" s="7">
        <f t="shared" si="5"/>
        <v>0</v>
      </c>
      <c r="H14" s="7">
        <f t="shared" si="5"/>
        <v>0</v>
      </c>
      <c r="I14" s="7">
        <f t="shared" si="5"/>
        <v>0</v>
      </c>
      <c r="J14" s="7">
        <f t="shared" si="5"/>
        <v>0</v>
      </c>
    </row>
    <row r="17" spans="1:12">
      <c r="A17" s="323" t="s">
        <v>29</v>
      </c>
      <c r="B17" s="323"/>
      <c r="C17" s="323"/>
      <c r="D17" s="323"/>
      <c r="E17" s="223">
        <f>E9+E6</f>
        <v>175000</v>
      </c>
      <c r="F17" s="223">
        <f>F6+E7+F9</f>
        <v>213000</v>
      </c>
      <c r="G17" s="223">
        <f t="shared" ref="G17:L17" si="6">G6+F7+E8+G9</f>
        <v>255200</v>
      </c>
      <c r="H17" s="223">
        <f t="shared" si="6"/>
        <v>201600</v>
      </c>
      <c r="I17" s="223">
        <f t="shared" si="6"/>
        <v>210600</v>
      </c>
      <c r="J17" s="223">
        <f t="shared" si="6"/>
        <v>220400</v>
      </c>
      <c r="K17" s="223">
        <f t="shared" si="6"/>
        <v>66600</v>
      </c>
      <c r="L17" s="223">
        <f t="shared" si="6"/>
        <v>27600</v>
      </c>
    </row>
    <row r="18" spans="1:12">
      <c r="A18" s="322" t="s">
        <v>5</v>
      </c>
      <c r="B18" s="322"/>
      <c r="C18" s="322"/>
      <c r="D18" s="322"/>
      <c r="E18" s="7">
        <f>E9</f>
        <v>100000</v>
      </c>
      <c r="F18" s="7">
        <f t="shared" ref="F18:L18" si="7">F9</f>
        <v>96000</v>
      </c>
      <c r="G18" s="7">
        <f t="shared" si="7"/>
        <v>104000</v>
      </c>
      <c r="H18" s="7">
        <f t="shared" si="7"/>
        <v>72000</v>
      </c>
      <c r="I18" s="7">
        <f t="shared" si="7"/>
        <v>84000</v>
      </c>
      <c r="J18" s="7">
        <f t="shared" si="7"/>
        <v>92000</v>
      </c>
      <c r="K18" s="7">
        <f t="shared" si="7"/>
        <v>0</v>
      </c>
      <c r="L18" s="7">
        <f t="shared" si="7"/>
        <v>0</v>
      </c>
    </row>
    <row r="19" spans="1:12">
      <c r="A19" s="322" t="s">
        <v>65</v>
      </c>
      <c r="B19" s="322"/>
      <c r="C19" s="322"/>
      <c r="D19" s="322"/>
      <c r="E19" s="7">
        <f>E6</f>
        <v>75000</v>
      </c>
      <c r="F19" s="7">
        <f>F6+E7</f>
        <v>117000</v>
      </c>
      <c r="G19" s="7">
        <f>G6+F7+E8</f>
        <v>151200</v>
      </c>
      <c r="H19" s="7">
        <f t="shared" ref="H19:L19" si="8">H6+G7+F8</f>
        <v>129600</v>
      </c>
      <c r="I19" s="7">
        <f t="shared" si="8"/>
        <v>126600</v>
      </c>
      <c r="J19" s="7">
        <f t="shared" si="8"/>
        <v>128400</v>
      </c>
      <c r="K19" s="7">
        <f t="shared" si="8"/>
        <v>66600</v>
      </c>
      <c r="L19" s="7">
        <f t="shared" si="8"/>
        <v>27600</v>
      </c>
    </row>
    <row r="20" spans="1:12">
      <c r="A20" s="321" t="s">
        <v>30</v>
      </c>
      <c r="B20" s="321"/>
      <c r="C20" s="321"/>
      <c r="D20" s="321"/>
      <c r="E20" s="223">
        <f>E11+E14</f>
        <v>0</v>
      </c>
      <c r="F20" s="223">
        <f>F11+E12+F14</f>
        <v>113750</v>
      </c>
      <c r="G20" s="223">
        <f>G11+F12+E13+G14</f>
        <v>170450</v>
      </c>
      <c r="H20" s="223">
        <f t="shared" ref="H20:L20" si="9">H11+G12+F13+H14</f>
        <v>177100</v>
      </c>
      <c r="I20" s="223">
        <f t="shared" si="9"/>
        <v>145600</v>
      </c>
      <c r="J20" s="223">
        <f t="shared" si="9"/>
        <v>139650</v>
      </c>
      <c r="K20" s="223">
        <f t="shared" si="9"/>
        <v>156100</v>
      </c>
      <c r="L20" s="223">
        <f t="shared" si="9"/>
        <v>56350</v>
      </c>
    </row>
    <row r="21" spans="1:12">
      <c r="A21" s="322" t="s">
        <v>5</v>
      </c>
      <c r="B21" s="322"/>
      <c r="C21" s="322"/>
      <c r="D21" s="322"/>
      <c r="E21" s="7">
        <f>E14</f>
        <v>0</v>
      </c>
      <c r="F21" s="7">
        <f t="shared" ref="F21:L21" si="10">F14</f>
        <v>0</v>
      </c>
      <c r="G21" s="7">
        <f t="shared" si="10"/>
        <v>0</v>
      </c>
      <c r="H21" s="7">
        <f t="shared" si="10"/>
        <v>0</v>
      </c>
      <c r="I21" s="7">
        <f t="shared" si="10"/>
        <v>0</v>
      </c>
      <c r="J21" s="7">
        <f t="shared" si="10"/>
        <v>0</v>
      </c>
      <c r="K21" s="7">
        <f t="shared" si="10"/>
        <v>0</v>
      </c>
      <c r="L21" s="7">
        <f t="shared" si="10"/>
        <v>0</v>
      </c>
    </row>
    <row r="22" spans="1:12">
      <c r="A22" s="322" t="s">
        <v>65</v>
      </c>
      <c r="B22" s="322"/>
      <c r="C22" s="322"/>
      <c r="D22" s="322"/>
      <c r="E22" s="7">
        <f>E11</f>
        <v>0</v>
      </c>
      <c r="F22" s="7">
        <f>F11+E12</f>
        <v>113750</v>
      </c>
      <c r="G22" s="7">
        <f>G11+F12+E13</f>
        <v>170450</v>
      </c>
      <c r="H22" s="7">
        <f t="shared" ref="H22:L22" si="11">H11+G12+F13</f>
        <v>177100</v>
      </c>
      <c r="I22" s="7">
        <f t="shared" si="11"/>
        <v>145600</v>
      </c>
      <c r="J22" s="7">
        <f t="shared" si="11"/>
        <v>139650</v>
      </c>
      <c r="K22" s="7">
        <f t="shared" si="11"/>
        <v>156100</v>
      </c>
      <c r="L22" s="7">
        <f t="shared" si="11"/>
        <v>56350</v>
      </c>
    </row>
    <row r="23" spans="1:12">
      <c r="A23" s="310" t="s">
        <v>31</v>
      </c>
      <c r="B23" s="310"/>
      <c r="C23" s="310"/>
      <c r="D23" s="310"/>
      <c r="E23" s="301">
        <f>E17-E20</f>
        <v>175000</v>
      </c>
      <c r="F23" s="301">
        <f t="shared" ref="F23:L23" si="12">F17-F20</f>
        <v>99250</v>
      </c>
      <c r="G23" s="301">
        <f t="shared" si="12"/>
        <v>84750</v>
      </c>
      <c r="H23" s="301">
        <f t="shared" si="12"/>
        <v>24500</v>
      </c>
      <c r="I23" s="301">
        <f t="shared" si="12"/>
        <v>65000</v>
      </c>
      <c r="J23" s="301">
        <f t="shared" si="12"/>
        <v>80750</v>
      </c>
      <c r="K23" s="301">
        <f t="shared" si="12"/>
        <v>-89500</v>
      </c>
      <c r="L23" s="301">
        <f t="shared" si="12"/>
        <v>-28750</v>
      </c>
    </row>
  </sheetData>
  <mergeCells count="19">
    <mergeCell ref="B14:D14"/>
    <mergeCell ref="A6:A8"/>
    <mergeCell ref="B6:B8"/>
    <mergeCell ref="A23:D23"/>
    <mergeCell ref="A1:J1"/>
    <mergeCell ref="A3:D4"/>
    <mergeCell ref="E3:G3"/>
    <mergeCell ref="H3:J3"/>
    <mergeCell ref="A5:D5"/>
    <mergeCell ref="A20:D20"/>
    <mergeCell ref="A21:D21"/>
    <mergeCell ref="A22:D22"/>
    <mergeCell ref="A17:D17"/>
    <mergeCell ref="A18:D18"/>
    <mergeCell ref="A19:D19"/>
    <mergeCell ref="B9:D9"/>
    <mergeCell ref="A10:C10"/>
    <mergeCell ref="A11:A13"/>
    <mergeCell ref="B11:B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F55E-7EDF-436F-9662-49B6992B916A}">
  <dimension ref="A1:L111"/>
  <sheetViews>
    <sheetView topLeftCell="A77" zoomScale="55" zoomScaleNormal="55" workbookViewId="0">
      <selection activeCell="R80" sqref="R80"/>
    </sheetView>
  </sheetViews>
  <sheetFormatPr baseColWidth="10" defaultRowHeight="13.8"/>
  <cols>
    <col min="1" max="1" width="24.296875" customWidth="1"/>
    <col min="2" max="2" width="24.69921875" customWidth="1"/>
    <col min="3" max="3" width="24" bestFit="1" customWidth="1"/>
    <col min="4" max="4" width="22.19921875" customWidth="1"/>
    <col min="5" max="5" width="22.5" customWidth="1"/>
    <col min="6" max="6" width="19.796875" customWidth="1"/>
    <col min="7" max="7" width="13.296875" customWidth="1"/>
    <col min="8" max="8" width="5.19921875" customWidth="1"/>
    <col min="9" max="9" width="51.5" customWidth="1"/>
    <col min="10" max="10" width="16" bestFit="1" customWidth="1"/>
    <col min="11" max="11" width="14.296875" bestFit="1" customWidth="1"/>
  </cols>
  <sheetData>
    <row r="1" spans="1:10" ht="32.4">
      <c r="A1" s="311" t="s">
        <v>197</v>
      </c>
      <c r="B1" s="392"/>
      <c r="C1" s="392"/>
      <c r="D1" s="392"/>
      <c r="E1" s="392"/>
      <c r="F1" s="392"/>
      <c r="G1" s="392"/>
      <c r="H1" s="392"/>
      <c r="I1" s="392"/>
      <c r="J1" s="392"/>
    </row>
    <row r="2" spans="1:10">
      <c r="A2" s="51"/>
      <c r="B2" s="51"/>
    </row>
    <row r="3" spans="1:10">
      <c r="A3" s="96"/>
      <c r="B3" s="97"/>
      <c r="C3" s="101" t="s">
        <v>162</v>
      </c>
      <c r="D3" s="179" t="s">
        <v>214</v>
      </c>
      <c r="E3" s="181" t="s">
        <v>220</v>
      </c>
      <c r="F3" s="180" t="s">
        <v>211</v>
      </c>
      <c r="G3" s="182" t="s">
        <v>197</v>
      </c>
      <c r="H3" s="8"/>
      <c r="I3" s="236"/>
    </row>
    <row r="4" spans="1:10">
      <c r="A4" s="335" t="s">
        <v>0</v>
      </c>
      <c r="B4" s="238" t="s">
        <v>15</v>
      </c>
      <c r="C4" s="105">
        <v>16000</v>
      </c>
      <c r="D4" s="45">
        <f>12000</f>
        <v>12000</v>
      </c>
      <c r="E4" s="45">
        <f>12000</f>
        <v>12000</v>
      </c>
      <c r="F4" s="45">
        <f>12000</f>
        <v>12000</v>
      </c>
      <c r="G4" s="183">
        <f t="shared" ref="G4:G19" si="0">D4-F4</f>
        <v>0</v>
      </c>
      <c r="H4" s="1" t="str">
        <f t="shared" ref="H4:H22" si="1">IF(G4&gt;0,"F",IF(G4&lt;0,"U",""))</f>
        <v/>
      </c>
      <c r="I4" s="236" t="str">
        <f>TEXT(B4,"")&amp;" Var"</f>
        <v>Volume Var</v>
      </c>
    </row>
    <row r="5" spans="1:10">
      <c r="A5" s="327"/>
      <c r="B5" s="236" t="s">
        <v>16</v>
      </c>
      <c r="C5" s="47">
        <f>92000/$C$4</f>
        <v>5.75</v>
      </c>
      <c r="D5" s="47">
        <f t="shared" ref="D5:E5" si="2">92000/$C$4</f>
        <v>5.75</v>
      </c>
      <c r="E5" s="47">
        <f t="shared" si="2"/>
        <v>5.75</v>
      </c>
      <c r="F5" s="48">
        <f>80000/F4</f>
        <v>6.666666666666667</v>
      </c>
      <c r="G5" s="183">
        <f t="shared" si="0"/>
        <v>-0.91666666666666696</v>
      </c>
      <c r="H5" s="1" t="str">
        <f t="shared" si="1"/>
        <v>U</v>
      </c>
      <c r="I5" s="236" t="str">
        <f>TEXT(B5,"")&amp;" Var"</f>
        <v>Unit Price Var</v>
      </c>
    </row>
    <row r="6" spans="1:10">
      <c r="A6" s="327"/>
      <c r="B6" s="95" t="s">
        <v>221</v>
      </c>
      <c r="C6" s="103">
        <f>C5*C4</f>
        <v>92000</v>
      </c>
      <c r="D6" s="103">
        <f t="shared" ref="D6:F6" si="3">D5*D4</f>
        <v>69000</v>
      </c>
      <c r="E6" s="103">
        <f t="shared" si="3"/>
        <v>69000</v>
      </c>
      <c r="F6" s="103">
        <f t="shared" si="3"/>
        <v>80000</v>
      </c>
      <c r="G6" s="184">
        <f>F6-C6</f>
        <v>-12000</v>
      </c>
      <c r="H6" s="102" t="str">
        <f t="shared" si="1"/>
        <v>U</v>
      </c>
      <c r="I6" s="236" t="str">
        <f t="shared" ref="I6:I21" si="4">TEXT(B6,"")&amp;" Var"</f>
        <v>Sales turnover Var</v>
      </c>
    </row>
    <row r="7" spans="1:10">
      <c r="A7" s="327" t="s">
        <v>7</v>
      </c>
      <c r="B7" s="236" t="s">
        <v>38</v>
      </c>
      <c r="C7" s="47">
        <f>16000/$C$4</f>
        <v>1</v>
      </c>
      <c r="D7" s="47">
        <f>16000/$C$4</f>
        <v>1</v>
      </c>
      <c r="E7" s="48">
        <f>12500/$E$4</f>
        <v>1.0416666666666667</v>
      </c>
      <c r="F7" s="48">
        <f>12500/$E$4</f>
        <v>1.0416666666666667</v>
      </c>
      <c r="G7" s="183">
        <f t="shared" si="0"/>
        <v>-4.1666666666666741E-2</v>
      </c>
      <c r="H7" s="1" t="str">
        <f t="shared" si="1"/>
        <v>U</v>
      </c>
      <c r="I7" s="236" t="str">
        <f t="shared" si="4"/>
        <v>RM Usage Var</v>
      </c>
    </row>
    <row r="8" spans="1:10">
      <c r="A8" s="327"/>
      <c r="B8" s="236" t="s">
        <v>34</v>
      </c>
      <c r="C8" s="105">
        <f>C7*C4</f>
        <v>16000</v>
      </c>
      <c r="D8" s="105">
        <f t="shared" ref="D8:F8" si="5">D7*D4</f>
        <v>12000</v>
      </c>
      <c r="E8" s="105">
        <f t="shared" si="5"/>
        <v>12500</v>
      </c>
      <c r="F8" s="105">
        <f t="shared" si="5"/>
        <v>12500</v>
      </c>
      <c r="G8" s="183">
        <f>F8-C8</f>
        <v>-3500</v>
      </c>
      <c r="H8" s="1" t="str">
        <f t="shared" si="1"/>
        <v>U</v>
      </c>
      <c r="I8" s="236" t="str">
        <f t="shared" si="4"/>
        <v>RM Used Var</v>
      </c>
    </row>
    <row r="9" spans="1:10">
      <c r="A9" s="327"/>
      <c r="B9" s="236" t="s">
        <v>37</v>
      </c>
      <c r="C9" s="47">
        <f>60000/$C$8</f>
        <v>3.75</v>
      </c>
      <c r="D9" s="47">
        <f t="shared" ref="D9:E9" si="6">60000/$C$8</f>
        <v>3.75</v>
      </c>
      <c r="E9" s="47">
        <f t="shared" si="6"/>
        <v>3.75</v>
      </c>
      <c r="F9" s="48">
        <f>50000/F8</f>
        <v>4</v>
      </c>
      <c r="G9" s="183">
        <f t="shared" si="0"/>
        <v>-0.25</v>
      </c>
      <c r="H9" s="1" t="str">
        <f t="shared" si="1"/>
        <v>U</v>
      </c>
      <c r="I9" s="236" t="str">
        <f t="shared" si="4"/>
        <v>RM Unit Price Var</v>
      </c>
    </row>
    <row r="10" spans="1:10">
      <c r="A10" s="327"/>
      <c r="B10" s="236" t="s">
        <v>35</v>
      </c>
      <c r="C10" s="105">
        <f>C8*C9</f>
        <v>60000</v>
      </c>
      <c r="D10" s="105">
        <f t="shared" ref="D10:F10" si="7">D8*D9</f>
        <v>45000</v>
      </c>
      <c r="E10" s="105">
        <f t="shared" si="7"/>
        <v>46875</v>
      </c>
      <c r="F10" s="105">
        <f t="shared" si="7"/>
        <v>50000</v>
      </c>
      <c r="G10" s="183">
        <f>C10-F10</f>
        <v>10000</v>
      </c>
      <c r="H10" s="1" t="str">
        <f t="shared" si="1"/>
        <v>F</v>
      </c>
      <c r="I10" s="29" t="str">
        <f>TEXT(B10,"")&amp;" Var or Variable Cost Var"</f>
        <v>RM Cost Var or Variable Cost Var</v>
      </c>
    </row>
    <row r="11" spans="1:10">
      <c r="A11" s="327" t="s">
        <v>39</v>
      </c>
      <c r="B11" s="236" t="s">
        <v>32</v>
      </c>
      <c r="C11" s="104">
        <f>C6-C10</f>
        <v>32000</v>
      </c>
      <c r="D11" s="104">
        <f t="shared" ref="D11:F11" si="8">D6-D10</f>
        <v>24000</v>
      </c>
      <c r="E11" s="104">
        <f t="shared" si="8"/>
        <v>22125</v>
      </c>
      <c r="F11" s="104">
        <f t="shared" si="8"/>
        <v>30000</v>
      </c>
      <c r="G11" s="183">
        <f>F11-C11</f>
        <v>-2000</v>
      </c>
      <c r="H11" s="1" t="str">
        <f t="shared" si="1"/>
        <v>U</v>
      </c>
      <c r="I11" s="236" t="str">
        <f t="shared" si="4"/>
        <v>Contribution Margin Var</v>
      </c>
    </row>
    <row r="12" spans="1:10">
      <c r="A12" s="327"/>
      <c r="B12" s="236" t="s">
        <v>33</v>
      </c>
      <c r="C12" s="105">
        <v>22000</v>
      </c>
      <c r="D12" s="105">
        <v>22000</v>
      </c>
      <c r="E12" s="105">
        <v>22000</v>
      </c>
      <c r="F12" s="105">
        <v>18000</v>
      </c>
      <c r="G12" s="183">
        <f>C12-F12</f>
        <v>4000</v>
      </c>
      <c r="H12" s="1" t="str">
        <f t="shared" si="1"/>
        <v>F</v>
      </c>
      <c r="I12" s="29" t="str">
        <f t="shared" si="4"/>
        <v>Fixed Costs Var</v>
      </c>
    </row>
    <row r="13" spans="1:10">
      <c r="A13" s="327"/>
      <c r="B13" s="236" t="s">
        <v>99</v>
      </c>
      <c r="C13" s="105"/>
      <c r="D13" s="45"/>
      <c r="E13" s="45"/>
      <c r="F13" s="45"/>
      <c r="G13" s="183">
        <f>D13-F13</f>
        <v>0</v>
      </c>
      <c r="H13" s="1" t="str">
        <f t="shared" si="1"/>
        <v/>
      </c>
      <c r="I13" s="31" t="str">
        <f t="shared" si="4"/>
        <v>Other fixed costs Var</v>
      </c>
    </row>
    <row r="14" spans="1:10">
      <c r="A14" s="327"/>
      <c r="B14" s="236" t="s">
        <v>40</v>
      </c>
      <c r="C14" s="176"/>
      <c r="D14" s="46"/>
      <c r="E14" s="235"/>
      <c r="F14" s="46"/>
      <c r="G14" s="183">
        <f t="shared" si="0"/>
        <v>0</v>
      </c>
      <c r="H14" s="1" t="str">
        <f t="shared" si="1"/>
        <v/>
      </c>
      <c r="I14" s="236" t="str">
        <f t="shared" si="4"/>
        <v>Labour Quantity Var</v>
      </c>
    </row>
    <row r="15" spans="1:10">
      <c r="A15" s="327"/>
      <c r="B15" s="236" t="s">
        <v>42</v>
      </c>
      <c r="C15" s="47"/>
      <c r="D15" s="48"/>
      <c r="E15" s="48"/>
      <c r="F15" s="48"/>
      <c r="G15" s="183">
        <f t="shared" si="0"/>
        <v>0</v>
      </c>
      <c r="H15" s="1" t="str">
        <f t="shared" si="1"/>
        <v/>
      </c>
      <c r="I15" s="236" t="str">
        <f t="shared" si="4"/>
        <v>Labour Unit Price Var</v>
      </c>
    </row>
    <row r="16" spans="1:10">
      <c r="A16" s="327"/>
      <c r="B16" s="236" t="s">
        <v>155</v>
      </c>
      <c r="C16" s="47"/>
      <c r="D16" s="47"/>
      <c r="E16" s="47"/>
      <c r="F16" s="47"/>
      <c r="G16" s="183"/>
      <c r="H16" s="1"/>
      <c r="I16" s="236" t="str">
        <f t="shared" si="4"/>
        <v>Labour per unit Var</v>
      </c>
    </row>
    <row r="17" spans="1:10">
      <c r="A17" s="327"/>
      <c r="B17" s="236" t="s">
        <v>41</v>
      </c>
      <c r="C17" s="105"/>
      <c r="D17" s="105"/>
      <c r="E17" s="105"/>
      <c r="F17" s="105"/>
      <c r="G17" s="183">
        <f>D17-F17</f>
        <v>0</v>
      </c>
      <c r="H17" s="1" t="str">
        <f t="shared" si="1"/>
        <v/>
      </c>
      <c r="I17" s="236" t="str">
        <f t="shared" si="4"/>
        <v>Labour Cost Var</v>
      </c>
    </row>
    <row r="18" spans="1:10">
      <c r="A18" s="327"/>
      <c r="B18" s="236" t="s">
        <v>44</v>
      </c>
      <c r="C18" s="176"/>
      <c r="D18" s="176"/>
      <c r="E18" s="176"/>
      <c r="F18" s="176"/>
      <c r="G18" s="183">
        <f>D18-F18</f>
        <v>0</v>
      </c>
      <c r="H18" s="1" t="str">
        <f t="shared" si="1"/>
        <v/>
      </c>
      <c r="I18" s="236" t="str">
        <f t="shared" si="4"/>
        <v>Overhead Quantity Var</v>
      </c>
    </row>
    <row r="19" spans="1:10">
      <c r="A19" s="327"/>
      <c r="B19" s="236" t="s">
        <v>45</v>
      </c>
      <c r="C19" s="177"/>
      <c r="D19" s="177"/>
      <c r="E19" s="177"/>
      <c r="F19" s="177"/>
      <c r="G19" s="183">
        <f t="shared" si="0"/>
        <v>0</v>
      </c>
      <c r="H19" s="1" t="str">
        <f t="shared" si="1"/>
        <v/>
      </c>
      <c r="I19" s="236" t="str">
        <f t="shared" si="4"/>
        <v>Overhead Unit Price Var</v>
      </c>
    </row>
    <row r="20" spans="1:10">
      <c r="A20" s="327"/>
      <c r="B20" s="236" t="s">
        <v>46</v>
      </c>
      <c r="C20" s="178"/>
      <c r="D20" s="178"/>
      <c r="E20" s="178"/>
      <c r="F20" s="178"/>
      <c r="G20" s="183">
        <f>C20-F20</f>
        <v>0</v>
      </c>
      <c r="H20" s="1" t="str">
        <f t="shared" si="1"/>
        <v/>
      </c>
      <c r="I20" s="236" t="str">
        <f t="shared" si="4"/>
        <v>Overhead Cost Var</v>
      </c>
    </row>
    <row r="21" spans="1:10">
      <c r="A21" s="236"/>
      <c r="B21" s="98" t="s">
        <v>47</v>
      </c>
      <c r="C21" s="99">
        <f>C6-C10-C12-C13-C17-C20</f>
        <v>10000</v>
      </c>
      <c r="D21" s="99">
        <f t="shared" ref="D21:F21" si="9">D6-D10-D12-D13-D17-D20</f>
        <v>2000</v>
      </c>
      <c r="E21" s="99">
        <f t="shared" si="9"/>
        <v>125</v>
      </c>
      <c r="F21" s="99">
        <f t="shared" si="9"/>
        <v>12000</v>
      </c>
      <c r="G21" s="100">
        <f>F21-C21</f>
        <v>2000</v>
      </c>
      <c r="H21" s="1" t="str">
        <f t="shared" si="1"/>
        <v>F</v>
      </c>
      <c r="I21" s="236" t="str">
        <f t="shared" si="4"/>
        <v>Net Profit Var</v>
      </c>
      <c r="J21" s="229" t="s">
        <v>252</v>
      </c>
    </row>
    <row r="22" spans="1:10" ht="14.4" thickBot="1">
      <c r="C22" s="88"/>
      <c r="G22" s="2">
        <f>G6+G10+G12+G20</f>
        <v>2000</v>
      </c>
      <c r="H22" s="233" t="str">
        <f t="shared" si="1"/>
        <v>F</v>
      </c>
    </row>
    <row r="23" spans="1:10" ht="14.4">
      <c r="A23" s="409" t="s">
        <v>204</v>
      </c>
      <c r="B23" s="410"/>
      <c r="C23" s="410"/>
      <c r="D23" s="410"/>
      <c r="E23" s="411"/>
      <c r="F23" s="93"/>
      <c r="G23" s="51"/>
    </row>
    <row r="24" spans="1:10" ht="14.4">
      <c r="A24" s="144"/>
      <c r="B24" s="145" t="s">
        <v>205</v>
      </c>
      <c r="C24" s="145" t="s">
        <v>206</v>
      </c>
      <c r="D24" s="145" t="s">
        <v>207</v>
      </c>
      <c r="E24" s="160" t="s">
        <v>208</v>
      </c>
      <c r="F24" s="93"/>
      <c r="G24" s="51"/>
    </row>
    <row r="25" spans="1:10" ht="14.4">
      <c r="A25" s="146" t="s">
        <v>209</v>
      </c>
      <c r="B25" s="147">
        <f>C4</f>
        <v>16000</v>
      </c>
      <c r="C25" s="148"/>
      <c r="D25" s="207">
        <f>C5</f>
        <v>5.75</v>
      </c>
      <c r="E25" s="161">
        <f>B25*D25</f>
        <v>92000</v>
      </c>
      <c r="F25" s="93"/>
      <c r="G25" s="51"/>
    </row>
    <row r="26" spans="1:10" ht="14.4">
      <c r="A26" s="146" t="s">
        <v>7</v>
      </c>
      <c r="B26" s="149">
        <f>C8</f>
        <v>16000</v>
      </c>
      <c r="C26" s="231">
        <f>C7</f>
        <v>1</v>
      </c>
      <c r="D26" s="215">
        <f>C9</f>
        <v>3.75</v>
      </c>
      <c r="E26" s="163">
        <f>B26*C26*D26</f>
        <v>60000</v>
      </c>
      <c r="F26" s="93"/>
      <c r="G26" s="51"/>
    </row>
    <row r="27" spans="1:10" ht="14.4">
      <c r="A27" s="146" t="s">
        <v>111</v>
      </c>
      <c r="B27" s="149"/>
      <c r="C27" s="157"/>
      <c r="D27" s="162"/>
      <c r="E27" s="163"/>
      <c r="F27" s="93"/>
      <c r="G27" s="51"/>
    </row>
    <row r="28" spans="1:10" ht="14.4">
      <c r="A28" s="146" t="s">
        <v>235</v>
      </c>
      <c r="B28" s="149">
        <f>C18</f>
        <v>0</v>
      </c>
      <c r="C28" s="157">
        <f>C18/C4</f>
        <v>0</v>
      </c>
      <c r="D28" s="162">
        <f>C19</f>
        <v>0</v>
      </c>
      <c r="E28" s="163">
        <f>B28*C28*D28</f>
        <v>0</v>
      </c>
      <c r="F28" s="93"/>
      <c r="G28" s="51"/>
    </row>
    <row r="29" spans="1:10" ht="14.4">
      <c r="A29" s="146" t="s">
        <v>82</v>
      </c>
      <c r="B29" s="230">
        <f>C12</f>
        <v>22000</v>
      </c>
      <c r="C29" s="157"/>
      <c r="D29" s="158"/>
      <c r="E29" s="163">
        <f>B29</f>
        <v>22000</v>
      </c>
      <c r="F29" s="93"/>
      <c r="G29" s="51"/>
    </row>
    <row r="30" spans="1:10" ht="14.4">
      <c r="A30" s="189" t="s">
        <v>236</v>
      </c>
      <c r="B30" s="150"/>
      <c r="C30" s="157"/>
      <c r="D30" s="158"/>
      <c r="E30" s="163"/>
      <c r="F30" s="93"/>
      <c r="G30" s="51"/>
    </row>
    <row r="31" spans="1:10" ht="14.4">
      <c r="A31" s="152" t="s">
        <v>125</v>
      </c>
      <c r="B31" s="153"/>
      <c r="C31" s="154"/>
      <c r="D31" s="155"/>
      <c r="E31" s="164">
        <f>E25-E26-E27-E28-E29-E30</f>
        <v>10000</v>
      </c>
      <c r="F31" s="93"/>
      <c r="G31" s="51"/>
    </row>
    <row r="32" spans="1:10" ht="14.4">
      <c r="A32" s="144"/>
      <c r="B32" s="157"/>
      <c r="C32" s="157"/>
      <c r="D32" s="157"/>
      <c r="E32" s="165"/>
      <c r="F32" s="93"/>
      <c r="G32" s="51"/>
    </row>
    <row r="33" spans="1:12" ht="14.4">
      <c r="A33" s="412" t="s">
        <v>214</v>
      </c>
      <c r="B33" s="413"/>
      <c r="C33" s="413"/>
      <c r="D33" s="413"/>
      <c r="E33" s="414"/>
      <c r="F33" s="93"/>
      <c r="G33" s="51"/>
    </row>
    <row r="34" spans="1:12" ht="14.4">
      <c r="A34" s="144"/>
      <c r="B34" s="145" t="s">
        <v>212</v>
      </c>
      <c r="C34" s="145" t="s">
        <v>206</v>
      </c>
      <c r="D34" s="145" t="s">
        <v>213</v>
      </c>
      <c r="E34" s="160" t="s">
        <v>208</v>
      </c>
      <c r="F34" s="93"/>
      <c r="G34" s="51"/>
    </row>
    <row r="35" spans="1:12" ht="14.4">
      <c r="A35" s="146" t="s">
        <v>209</v>
      </c>
      <c r="B35" s="147">
        <f>D4</f>
        <v>12000</v>
      </c>
      <c r="C35" s="148"/>
      <c r="D35" s="207">
        <f>D5</f>
        <v>5.75</v>
      </c>
      <c r="E35" s="161">
        <f>B35*D35</f>
        <v>69000</v>
      </c>
      <c r="F35" s="94"/>
      <c r="G35" s="51"/>
    </row>
    <row r="36" spans="1:12" ht="14.4">
      <c r="A36" s="146" t="s">
        <v>210</v>
      </c>
      <c r="B36" s="149">
        <f>D8</f>
        <v>12000</v>
      </c>
      <c r="C36" s="231">
        <f>D7</f>
        <v>1</v>
      </c>
      <c r="D36" s="215">
        <f>D9</f>
        <v>3.75</v>
      </c>
      <c r="E36" s="163">
        <f>B36*C36*D36</f>
        <v>45000</v>
      </c>
      <c r="F36" s="94"/>
      <c r="G36" s="51"/>
    </row>
    <row r="37" spans="1:12" ht="14.4">
      <c r="A37" s="146" t="s">
        <v>111</v>
      </c>
      <c r="B37" s="149"/>
      <c r="C37" s="157"/>
      <c r="D37" s="162"/>
      <c r="E37" s="163"/>
      <c r="F37" s="93"/>
      <c r="G37" s="51"/>
    </row>
    <row r="38" spans="1:12" ht="14.4">
      <c r="A38" s="146" t="s">
        <v>235</v>
      </c>
      <c r="B38" s="149">
        <f>D4</f>
        <v>12000</v>
      </c>
      <c r="C38" s="157">
        <f>D18/D4</f>
        <v>0</v>
      </c>
      <c r="D38" s="162">
        <f>D19</f>
        <v>0</v>
      </c>
      <c r="E38" s="163">
        <f>B38*C38*D38</f>
        <v>0</v>
      </c>
      <c r="F38" s="93"/>
      <c r="G38" s="51"/>
    </row>
    <row r="39" spans="1:12" ht="14.4">
      <c r="A39" s="146" t="s">
        <v>82</v>
      </c>
      <c r="B39" s="230">
        <f>D12</f>
        <v>22000</v>
      </c>
      <c r="C39" s="157"/>
      <c r="D39" s="158"/>
      <c r="E39" s="163">
        <f>B39</f>
        <v>22000</v>
      </c>
      <c r="F39" s="93"/>
      <c r="G39" s="51"/>
    </row>
    <row r="40" spans="1:12" ht="14.4">
      <c r="A40" s="189" t="s">
        <v>236</v>
      </c>
      <c r="B40" s="150"/>
      <c r="C40" s="157"/>
      <c r="D40" s="158"/>
      <c r="E40" s="163"/>
      <c r="F40" s="93"/>
      <c r="G40" s="51"/>
    </row>
    <row r="41" spans="1:12" ht="14.4">
      <c r="A41" s="152" t="s">
        <v>125</v>
      </c>
      <c r="B41" s="153"/>
      <c r="C41" s="154"/>
      <c r="D41" s="155"/>
      <c r="E41" s="164">
        <f>E35-E36-E37-E38-E39-E40</f>
        <v>2000</v>
      </c>
      <c r="F41" s="93"/>
      <c r="G41" s="51"/>
    </row>
    <row r="42" spans="1:12" ht="14.4">
      <c r="A42" s="144"/>
      <c r="B42" s="157"/>
      <c r="C42" s="157"/>
      <c r="D42" s="158"/>
      <c r="E42" s="166"/>
      <c r="F42" s="93"/>
      <c r="G42" s="51"/>
    </row>
    <row r="43" spans="1:12" ht="15" thickBot="1">
      <c r="A43" s="415" t="s">
        <v>219</v>
      </c>
      <c r="B43" s="416"/>
      <c r="C43" s="416"/>
      <c r="D43" s="416"/>
      <c r="E43" s="417"/>
      <c r="F43" s="93"/>
      <c r="G43" s="51"/>
    </row>
    <row r="44" spans="1:12" ht="14.4">
      <c r="A44" s="144"/>
      <c r="B44" s="145" t="s">
        <v>215</v>
      </c>
      <c r="C44" s="145" t="s">
        <v>12</v>
      </c>
      <c r="D44" s="145" t="s">
        <v>207</v>
      </c>
      <c r="E44" s="160" t="s">
        <v>208</v>
      </c>
      <c r="F44" s="93"/>
      <c r="G44" s="51"/>
      <c r="H44" s="72"/>
      <c r="I44" s="418" t="s">
        <v>188</v>
      </c>
      <c r="J44" s="418"/>
      <c r="K44" s="418"/>
      <c r="L44" s="73"/>
    </row>
    <row r="45" spans="1:12" ht="14.4">
      <c r="A45" s="146" t="s">
        <v>209</v>
      </c>
      <c r="B45" s="147">
        <f>E4</f>
        <v>12000</v>
      </c>
      <c r="C45" s="148"/>
      <c r="D45" s="207">
        <f>E5</f>
        <v>5.75</v>
      </c>
      <c r="E45" s="161">
        <f>B45*D45</f>
        <v>69000</v>
      </c>
      <c r="F45" s="93"/>
      <c r="G45" s="51"/>
      <c r="H45" s="74"/>
      <c r="I45" s="419"/>
      <c r="J45" s="419"/>
      <c r="K45" s="419"/>
      <c r="L45" s="75"/>
    </row>
    <row r="46" spans="1:12" ht="14.4">
      <c r="A46" s="146" t="s">
        <v>210</v>
      </c>
      <c r="B46" s="149">
        <f>B45</f>
        <v>12000</v>
      </c>
      <c r="C46" s="231">
        <f>E7</f>
        <v>1.0416666666666667</v>
      </c>
      <c r="D46" s="215">
        <f>E9</f>
        <v>3.75</v>
      </c>
      <c r="E46" s="163">
        <f>B46*C46*D46</f>
        <v>46875</v>
      </c>
      <c r="F46" s="93"/>
      <c r="G46" s="51"/>
      <c r="H46" s="74"/>
      <c r="I46" s="51" t="s">
        <v>192</v>
      </c>
      <c r="J46" s="61">
        <v>0</v>
      </c>
      <c r="K46" s="51"/>
      <c r="L46" s="75"/>
    </row>
    <row r="47" spans="1:12" ht="14.4">
      <c r="A47" s="146" t="s">
        <v>111</v>
      </c>
      <c r="B47" s="149"/>
      <c r="C47" s="157"/>
      <c r="D47" s="162"/>
      <c r="E47" s="163"/>
      <c r="F47" s="93"/>
      <c r="G47" s="51"/>
      <c r="H47" s="74"/>
      <c r="I47" s="51"/>
      <c r="J47" s="51"/>
      <c r="K47" s="51"/>
      <c r="L47" s="75"/>
    </row>
    <row r="48" spans="1:12" ht="14.4">
      <c r="A48" s="146" t="s">
        <v>235</v>
      </c>
      <c r="B48" s="149">
        <f>E18</f>
        <v>0</v>
      </c>
      <c r="C48" s="157">
        <f>E18/E4</f>
        <v>0</v>
      </c>
      <c r="D48" s="162">
        <f>E19</f>
        <v>0</v>
      </c>
      <c r="E48" s="163">
        <f>B48*C48*D48</f>
        <v>0</v>
      </c>
      <c r="F48" s="93"/>
      <c r="G48" s="51"/>
      <c r="H48" s="74"/>
      <c r="I48" s="69" t="s">
        <v>189</v>
      </c>
      <c r="J48" s="70" t="s">
        <v>190</v>
      </c>
      <c r="K48" s="71" t="s">
        <v>191</v>
      </c>
      <c r="L48" s="75"/>
    </row>
    <row r="49" spans="1:12" ht="14.4">
      <c r="A49" s="146" t="s">
        <v>82</v>
      </c>
      <c r="B49" s="230">
        <f>E12</f>
        <v>22000</v>
      </c>
      <c r="C49" s="157"/>
      <c r="D49" s="158"/>
      <c r="E49" s="163">
        <f>B49</f>
        <v>22000</v>
      </c>
      <c r="F49" s="93"/>
      <c r="G49" s="51"/>
      <c r="H49" s="74"/>
      <c r="I49" s="56" t="s">
        <v>167</v>
      </c>
      <c r="J49" s="51">
        <v>8</v>
      </c>
      <c r="K49" s="57">
        <v>12</v>
      </c>
      <c r="L49" s="75"/>
    </row>
    <row r="50" spans="1:12" ht="14.4">
      <c r="A50" s="189" t="s">
        <v>236</v>
      </c>
      <c r="B50" s="150"/>
      <c r="C50" s="157"/>
      <c r="D50" s="158"/>
      <c r="E50" s="163"/>
      <c r="F50" s="93"/>
      <c r="G50" s="51"/>
      <c r="H50" s="74"/>
      <c r="I50" s="56" t="s">
        <v>168</v>
      </c>
      <c r="J50" s="51">
        <v>32</v>
      </c>
      <c r="K50" s="57">
        <v>40</v>
      </c>
      <c r="L50" s="75"/>
    </row>
    <row r="51" spans="1:12" ht="14.4">
      <c r="A51" s="152" t="s">
        <v>125</v>
      </c>
      <c r="B51" s="153"/>
      <c r="C51" s="154"/>
      <c r="D51" s="155"/>
      <c r="E51" s="164">
        <f>+E45-E46-E47-E48-E49-E50</f>
        <v>125</v>
      </c>
      <c r="F51" s="93"/>
      <c r="G51" s="51"/>
      <c r="H51" s="74"/>
      <c r="I51" s="79" t="s">
        <v>171</v>
      </c>
      <c r="J51" s="195">
        <f>K51*(1-0.05)</f>
        <v>11400</v>
      </c>
      <c r="K51" s="195">
        <f>B104</f>
        <v>12000</v>
      </c>
      <c r="L51" s="75"/>
    </row>
    <row r="52" spans="1:12" ht="15" thickBot="1">
      <c r="A52" s="144"/>
      <c r="B52" s="157"/>
      <c r="C52" s="157"/>
      <c r="D52" s="158"/>
      <c r="E52" s="165"/>
      <c r="F52" s="93"/>
      <c r="G52" s="51"/>
      <c r="H52" s="76"/>
      <c r="I52" s="77"/>
      <c r="J52" s="77"/>
      <c r="K52" s="77"/>
      <c r="L52" s="78"/>
    </row>
    <row r="53" spans="1:12" ht="14.4">
      <c r="A53" s="406" t="s">
        <v>211</v>
      </c>
      <c r="B53" s="407"/>
      <c r="C53" s="407"/>
      <c r="D53" s="407"/>
      <c r="E53" s="408"/>
      <c r="F53" s="93"/>
      <c r="G53" s="51"/>
    </row>
    <row r="54" spans="1:12" ht="14.4">
      <c r="A54" s="144"/>
      <c r="B54" s="159" t="s">
        <v>215</v>
      </c>
      <c r="C54" s="159" t="s">
        <v>12</v>
      </c>
      <c r="D54" s="159" t="s">
        <v>207</v>
      </c>
      <c r="E54" s="167" t="s">
        <v>208</v>
      </c>
      <c r="F54" s="93"/>
      <c r="G54" s="51"/>
    </row>
    <row r="55" spans="1:12" ht="14.4">
      <c r="A55" s="146" t="s">
        <v>209</v>
      </c>
      <c r="B55" s="147">
        <f>F4</f>
        <v>12000</v>
      </c>
      <c r="C55" s="148"/>
      <c r="D55" s="207">
        <f>F5</f>
        <v>6.666666666666667</v>
      </c>
      <c r="E55" s="161">
        <f>B55*D55</f>
        <v>80000</v>
      </c>
      <c r="F55" s="93"/>
      <c r="G55" s="51"/>
    </row>
    <row r="56" spans="1:12" ht="14.4">
      <c r="A56" s="146" t="s">
        <v>210</v>
      </c>
      <c r="B56" s="149">
        <f>B55</f>
        <v>12000</v>
      </c>
      <c r="C56" s="231">
        <f>F7</f>
        <v>1.0416666666666667</v>
      </c>
      <c r="D56" s="215">
        <f>F9</f>
        <v>4</v>
      </c>
      <c r="E56" s="163">
        <f>B56*C56*D56</f>
        <v>50000</v>
      </c>
      <c r="F56" s="93"/>
      <c r="G56" s="51"/>
    </row>
    <row r="57" spans="1:12" ht="14.4">
      <c r="A57" s="146" t="s">
        <v>111</v>
      </c>
      <c r="B57" s="149"/>
      <c r="C57" s="157"/>
      <c r="D57" s="162"/>
      <c r="E57" s="163"/>
      <c r="F57" s="93"/>
      <c r="G57" s="51"/>
    </row>
    <row r="58" spans="1:12" ht="14.4">
      <c r="A58" s="146" t="s">
        <v>235</v>
      </c>
      <c r="B58" s="149">
        <f>F18</f>
        <v>0</v>
      </c>
      <c r="C58" s="157">
        <f>F18/F4</f>
        <v>0</v>
      </c>
      <c r="D58" s="162">
        <f>F19</f>
        <v>0</v>
      </c>
      <c r="E58" s="163">
        <f>B58*C58*D58</f>
        <v>0</v>
      </c>
      <c r="F58" s="93"/>
      <c r="G58" s="51"/>
    </row>
    <row r="59" spans="1:12" ht="14.4">
      <c r="A59" s="146" t="s">
        <v>82</v>
      </c>
      <c r="B59" s="230">
        <f>F12</f>
        <v>18000</v>
      </c>
      <c r="C59" s="157"/>
      <c r="D59" s="158"/>
      <c r="E59" s="163">
        <f>B59</f>
        <v>18000</v>
      </c>
      <c r="F59" s="93"/>
      <c r="G59" s="51"/>
    </row>
    <row r="60" spans="1:12" ht="14.4">
      <c r="A60" s="189" t="s">
        <v>236</v>
      </c>
      <c r="B60" s="150"/>
      <c r="C60" s="157"/>
      <c r="D60" s="158"/>
      <c r="E60" s="163"/>
      <c r="F60" s="93"/>
      <c r="G60" s="51"/>
    </row>
    <row r="61" spans="1:12" ht="15" thickBot="1">
      <c r="A61" s="168" t="s">
        <v>125</v>
      </c>
      <c r="B61" s="169"/>
      <c r="C61" s="170"/>
      <c r="D61" s="171"/>
      <c r="E61" s="172">
        <f>+E55-E56-E57-E58-E59-E60</f>
        <v>12000</v>
      </c>
      <c r="F61" s="93"/>
      <c r="G61" s="51"/>
    </row>
    <row r="62" spans="1:12" ht="45" customHeight="1">
      <c r="A62" s="371"/>
      <c r="B62" s="372"/>
      <c r="C62" s="372"/>
      <c r="D62" s="372"/>
      <c r="E62" s="372"/>
      <c r="F62" s="372"/>
      <c r="G62" s="372"/>
    </row>
    <row r="63" spans="1:12" ht="28.95" customHeight="1" thickBot="1">
      <c r="A63" s="391" t="s">
        <v>187</v>
      </c>
      <c r="B63" s="391"/>
      <c r="C63" s="391"/>
      <c r="D63" s="391"/>
      <c r="E63" s="391"/>
      <c r="G63" s="51"/>
    </row>
    <row r="64" spans="1:12" ht="19.95" customHeight="1">
      <c r="A64" s="393" t="s">
        <v>234</v>
      </c>
      <c r="B64" s="394"/>
      <c r="C64" s="394"/>
      <c r="D64" s="394"/>
      <c r="E64" s="395"/>
      <c r="F64" s="130"/>
    </row>
    <row r="65" spans="1:11" ht="16.95" customHeight="1">
      <c r="A65" s="396"/>
      <c r="B65" s="397"/>
      <c r="C65" s="397"/>
      <c r="D65" s="397"/>
      <c r="E65" s="398"/>
      <c r="F65" s="51"/>
    </row>
    <row r="66" spans="1:11" ht="24" customHeight="1">
      <c r="A66" s="399" t="s">
        <v>232</v>
      </c>
      <c r="B66" s="400"/>
      <c r="C66" s="210" t="s">
        <v>224</v>
      </c>
      <c r="D66" s="213">
        <f>(E41-E31)</f>
        <v>-8000</v>
      </c>
      <c r="E66" s="211" t="str">
        <f>IF(D66&gt;0,"F","U")</f>
        <v>U</v>
      </c>
      <c r="F66" s="51"/>
    </row>
    <row r="67" spans="1:11" ht="16.05" customHeight="1">
      <c r="A67" s="401"/>
      <c r="B67" s="402"/>
      <c r="C67" s="132" t="s">
        <v>7</v>
      </c>
      <c r="D67" s="129">
        <f>C10-D10</f>
        <v>15000</v>
      </c>
      <c r="E67" s="135" t="str">
        <f>IF(D67&gt;0,"F","U")</f>
        <v>F</v>
      </c>
      <c r="F67" s="375" t="s">
        <v>231</v>
      </c>
      <c r="G67" s="375"/>
      <c r="H67" s="375"/>
      <c r="I67" s="375"/>
    </row>
    <row r="68" spans="1:11" ht="16.05" customHeight="1">
      <c r="A68" s="401"/>
      <c r="B68" s="402"/>
      <c r="C68" s="56" t="s">
        <v>111</v>
      </c>
      <c r="D68" s="2">
        <f>C17-D17</f>
        <v>0</v>
      </c>
      <c r="E68" s="136" t="str">
        <f>IF(D68&gt;0,"F","U")</f>
        <v>U</v>
      </c>
      <c r="F68" s="375"/>
      <c r="G68" s="375"/>
      <c r="H68" s="375"/>
      <c r="I68" s="375"/>
    </row>
    <row r="69" spans="1:11" ht="16.05" customHeight="1">
      <c r="A69" s="401"/>
      <c r="B69" s="402"/>
      <c r="C69" s="133" t="s">
        <v>235</v>
      </c>
      <c r="D69" s="2">
        <f>C20-D20</f>
        <v>0</v>
      </c>
      <c r="E69" s="136" t="str">
        <f>IF(D69&gt;0,"F","U")</f>
        <v>U</v>
      </c>
      <c r="F69" s="375"/>
      <c r="G69" s="375"/>
      <c r="H69" s="375"/>
      <c r="I69" s="375"/>
    </row>
    <row r="70" spans="1:11" ht="16.05" customHeight="1">
      <c r="A70" s="228"/>
      <c r="B70" s="405" t="s">
        <v>225</v>
      </c>
      <c r="C70" s="405"/>
      <c r="D70" s="265">
        <f>D67+D68+D69</f>
        <v>15000</v>
      </c>
      <c r="E70" s="137" t="str">
        <f t="shared" ref="E70:E74" si="10">IF(D70&gt;0,"F","U")</f>
        <v>F</v>
      </c>
      <c r="F70" s="192"/>
      <c r="G70" s="192"/>
      <c r="H70" s="192"/>
      <c r="I70" s="192"/>
    </row>
    <row r="71" spans="1:11" ht="14.4">
      <c r="A71" s="74"/>
      <c r="B71" s="378" t="s">
        <v>178</v>
      </c>
      <c r="C71" s="379"/>
      <c r="D71" s="132">
        <f>(D36-D26)*B46*C46</f>
        <v>0</v>
      </c>
      <c r="E71" s="136" t="str">
        <f>IF(C71&gt;0,"F","U")</f>
        <v>U</v>
      </c>
      <c r="F71" s="377" t="s">
        <v>179</v>
      </c>
      <c r="G71" s="377"/>
      <c r="H71" s="377"/>
      <c r="I71" s="377"/>
      <c r="J71" s="190"/>
      <c r="K71" s="190"/>
    </row>
    <row r="72" spans="1:11" ht="14.4">
      <c r="A72" s="74"/>
      <c r="B72" s="380" t="s">
        <v>180</v>
      </c>
      <c r="C72" s="381"/>
      <c r="D72" s="266">
        <f>(B55-B25)*D25</f>
        <v>-23000</v>
      </c>
      <c r="E72" s="136" t="str">
        <f>IF(C72&gt;0,"F","U")</f>
        <v>U</v>
      </c>
      <c r="F72" s="377" t="s">
        <v>181</v>
      </c>
      <c r="G72" s="377"/>
      <c r="H72" s="377"/>
      <c r="I72" s="377"/>
      <c r="J72" s="191"/>
      <c r="K72" s="190"/>
    </row>
    <row r="73" spans="1:11" ht="14.4">
      <c r="A73" s="74"/>
      <c r="B73" s="51"/>
      <c r="C73" s="131" t="s">
        <v>182</v>
      </c>
      <c r="D73" s="267">
        <f>(E61-E31)*J46*D25</f>
        <v>0</v>
      </c>
      <c r="E73" s="136" t="str">
        <f t="shared" si="10"/>
        <v>U</v>
      </c>
      <c r="F73" s="377" t="s">
        <v>183</v>
      </c>
      <c r="G73" s="377"/>
      <c r="H73" s="377"/>
      <c r="I73" s="377"/>
      <c r="J73" s="240"/>
    </row>
    <row r="74" spans="1:11" ht="14.4">
      <c r="A74" s="193"/>
      <c r="B74" s="89"/>
      <c r="C74" s="128" t="s">
        <v>184</v>
      </c>
      <c r="D74" s="194">
        <f>D72-D73</f>
        <v>-23000</v>
      </c>
      <c r="E74" s="137" t="str">
        <f t="shared" si="10"/>
        <v>U</v>
      </c>
      <c r="F74" s="376"/>
      <c r="G74" s="376"/>
      <c r="H74" s="376"/>
      <c r="I74" s="376"/>
      <c r="J74" s="376"/>
    </row>
    <row r="75" spans="1:11" ht="25.05" customHeight="1">
      <c r="A75" s="399" t="s">
        <v>227</v>
      </c>
      <c r="B75" s="400"/>
      <c r="C75" s="210" t="s">
        <v>175</v>
      </c>
      <c r="D75" s="213">
        <f>(D55-D25)*B55</f>
        <v>11000.000000000004</v>
      </c>
      <c r="E75" s="211" t="str">
        <f>IF(D75&gt;0,"F","U")</f>
        <v>F</v>
      </c>
      <c r="F75" s="377" t="s">
        <v>179</v>
      </c>
      <c r="G75" s="377"/>
      <c r="H75" s="377"/>
      <c r="I75" s="377"/>
    </row>
    <row r="76" spans="1:11" ht="22.05" customHeight="1">
      <c r="A76" s="401"/>
      <c r="B76" s="402"/>
      <c r="C76" s="210" t="s">
        <v>250</v>
      </c>
      <c r="D76" s="212">
        <f>D78</f>
        <v>-5000.0000000000036</v>
      </c>
      <c r="E76" s="211" t="str">
        <f>IF(D76&lt;0,"F","U")</f>
        <v>F</v>
      </c>
      <c r="F76" s="376"/>
      <c r="G76" s="376"/>
      <c r="H76" s="376"/>
      <c r="I76" s="376"/>
      <c r="J76" s="376"/>
    </row>
    <row r="77" spans="1:11" ht="24" customHeight="1">
      <c r="A77" s="401"/>
      <c r="B77" s="402"/>
      <c r="C77" s="210" t="s">
        <v>251</v>
      </c>
      <c r="D77" s="213">
        <f>(E29-E59)+(E30-E60)</f>
        <v>4000</v>
      </c>
      <c r="E77" s="211" t="str">
        <f>IF(D77&gt;0,"F","U")</f>
        <v>F</v>
      </c>
      <c r="G77" s="58"/>
      <c r="H77" s="58"/>
      <c r="I77" s="58"/>
      <c r="J77" s="58"/>
    </row>
    <row r="78" spans="1:11" ht="16.05" customHeight="1">
      <c r="A78" s="208"/>
      <c r="B78" s="403" t="s">
        <v>250</v>
      </c>
      <c r="C78" s="404"/>
      <c r="D78" s="209">
        <f>+D82+D86</f>
        <v>-5000.0000000000036</v>
      </c>
      <c r="E78" s="214" t="str">
        <f>IF(D78&gt;0,"F","U")</f>
        <v>U</v>
      </c>
      <c r="G78" s="58"/>
      <c r="H78" s="58"/>
      <c r="I78" s="58"/>
      <c r="J78" s="58"/>
    </row>
    <row r="79" spans="1:11" ht="13.8" customHeight="1">
      <c r="A79" s="388"/>
      <c r="B79" s="382" t="s">
        <v>227</v>
      </c>
      <c r="C79" s="141" t="s">
        <v>7</v>
      </c>
      <c r="D79" s="142">
        <f>(D26-D56)*C56*B56</f>
        <v>-3125</v>
      </c>
      <c r="E79" s="143" t="str">
        <f>IF(D79&gt;0,"F","U")</f>
        <v>U</v>
      </c>
      <c r="F79" s="373" t="s">
        <v>258</v>
      </c>
      <c r="G79" s="374"/>
      <c r="H79" s="374"/>
      <c r="I79" s="374"/>
    </row>
    <row r="80" spans="1:11" ht="13.8" customHeight="1">
      <c r="A80" s="388"/>
      <c r="B80" s="383"/>
      <c r="C80" s="56" t="s">
        <v>111</v>
      </c>
      <c r="D80" s="2">
        <f>(D27-D57)*B57*C57</f>
        <v>0</v>
      </c>
      <c r="E80" s="136" t="str">
        <f t="shared" ref="E80:E82" si="11">IF(D80&gt;0,"F","U")</f>
        <v>U</v>
      </c>
      <c r="F80" s="374"/>
      <c r="G80" s="374"/>
      <c r="H80" s="374"/>
      <c r="I80" s="374"/>
    </row>
    <row r="81" spans="1:10" ht="13.8" customHeight="1">
      <c r="A81" s="388"/>
      <c r="B81" s="383"/>
      <c r="C81" s="133" t="s">
        <v>226</v>
      </c>
      <c r="D81" s="2">
        <f>(D28-D58)*B58*C58</f>
        <v>0</v>
      </c>
      <c r="E81" s="136" t="str">
        <f t="shared" si="11"/>
        <v>U</v>
      </c>
      <c r="F81" s="374"/>
      <c r="G81" s="374"/>
      <c r="H81" s="374"/>
      <c r="I81" s="374"/>
    </row>
    <row r="82" spans="1:10">
      <c r="A82" s="388"/>
      <c r="B82" s="384"/>
      <c r="C82" s="134" t="s">
        <v>229</v>
      </c>
      <c r="D82" s="265">
        <f>D79+D80+D81</f>
        <v>-3125</v>
      </c>
      <c r="E82" s="137" t="str">
        <f t="shared" si="11"/>
        <v>U</v>
      </c>
      <c r="F82" s="192"/>
      <c r="G82" s="192"/>
      <c r="H82" s="192"/>
      <c r="I82" s="192"/>
    </row>
    <row r="83" spans="1:10" ht="13.8" customHeight="1">
      <c r="A83" s="388"/>
      <c r="B83" s="385" t="s">
        <v>228</v>
      </c>
      <c r="C83" s="132" t="s">
        <v>7</v>
      </c>
      <c r="D83" s="129">
        <f>(C36-C56)*D26*B56</f>
        <v>-1875.0000000000034</v>
      </c>
      <c r="E83" s="136" t="str">
        <f>IF(D83&lt;0,"F","U")</f>
        <v>F</v>
      </c>
      <c r="F83" s="375" t="s">
        <v>259</v>
      </c>
      <c r="G83" s="374"/>
      <c r="H83" s="374"/>
      <c r="I83" s="374"/>
    </row>
    <row r="84" spans="1:10" ht="13.8" customHeight="1">
      <c r="A84" s="388"/>
      <c r="B84" s="386"/>
      <c r="C84" s="56" t="s">
        <v>111</v>
      </c>
      <c r="D84" s="2">
        <f>(C37*B37-C57*B57)*D27</f>
        <v>0</v>
      </c>
      <c r="E84" s="136" t="str">
        <f t="shared" ref="E84:E86" si="12">IF(D84&lt;0,"F","U")</f>
        <v>U</v>
      </c>
      <c r="F84" s="374"/>
      <c r="G84" s="374"/>
      <c r="H84" s="374"/>
      <c r="I84" s="374"/>
      <c r="J84" s="232"/>
    </row>
    <row r="85" spans="1:10" ht="13.8" customHeight="1">
      <c r="A85" s="388"/>
      <c r="B85" s="386"/>
      <c r="C85" s="133" t="s">
        <v>226</v>
      </c>
      <c r="D85" s="2">
        <f>(C38*B38-C58*B58)*D28</f>
        <v>0</v>
      </c>
      <c r="E85" s="136" t="str">
        <f t="shared" si="12"/>
        <v>U</v>
      </c>
      <c r="F85" s="374"/>
      <c r="G85" s="374"/>
      <c r="H85" s="374"/>
      <c r="I85" s="374"/>
      <c r="J85" s="232"/>
    </row>
    <row r="86" spans="1:10" ht="14.4" thickBot="1">
      <c r="A86" s="389"/>
      <c r="B86" s="387"/>
      <c r="C86" s="138" t="s">
        <v>230</v>
      </c>
      <c r="D86" s="139">
        <f>D83+D84+D85</f>
        <v>-1875.0000000000034</v>
      </c>
      <c r="E86" s="140" t="str">
        <f t="shared" si="12"/>
        <v>F</v>
      </c>
    </row>
    <row r="87" spans="1:10">
      <c r="D87" s="2">
        <f>D66+D75+D76+D77</f>
        <v>2000</v>
      </c>
    </row>
    <row r="88" spans="1:10" ht="14.4">
      <c r="A88" s="92"/>
      <c r="B88" s="91"/>
      <c r="C88" s="91"/>
      <c r="D88" s="91"/>
      <c r="E88" s="91"/>
    </row>
    <row r="89" spans="1:10" ht="31.95" customHeight="1">
      <c r="A89" s="390" t="s">
        <v>199</v>
      </c>
      <c r="B89" s="391"/>
      <c r="C89" s="391"/>
      <c r="D89" s="391"/>
      <c r="E89" s="391"/>
    </row>
    <row r="90" spans="1:10" ht="14.4">
      <c r="A90" s="173" t="s">
        <v>200</v>
      </c>
      <c r="B90" s="275">
        <f>C21</f>
        <v>10000</v>
      </c>
      <c r="C90" s="278"/>
      <c r="D90" s="91"/>
      <c r="E90" s="93"/>
      <c r="G90" s="88"/>
    </row>
    <row r="91" spans="1:10" ht="14.4">
      <c r="A91" s="173" t="s">
        <v>263</v>
      </c>
      <c r="B91" s="277">
        <f>B92+B95</f>
        <v>3000.0000000000036</v>
      </c>
      <c r="C91" s="279" t="str">
        <f>IF(B91&gt;0,"F","U")</f>
        <v>F</v>
      </c>
      <c r="D91" s="91"/>
      <c r="E91" s="93"/>
      <c r="G91" s="88"/>
    </row>
    <row r="92" spans="1:10" ht="16.05" customHeight="1">
      <c r="A92" s="282" t="s">
        <v>201</v>
      </c>
      <c r="B92" s="276">
        <f>B93+B94</f>
        <v>-8000</v>
      </c>
      <c r="C92" s="279" t="str">
        <f>IF(B92&gt;0,"F","U")</f>
        <v>U</v>
      </c>
      <c r="D92" s="370" t="s">
        <v>216</v>
      </c>
      <c r="E92" s="370"/>
      <c r="F92" s="185"/>
      <c r="G92" s="185"/>
    </row>
    <row r="93" spans="1:10" ht="16.05" customHeight="1">
      <c r="A93" s="274" t="s">
        <v>261</v>
      </c>
      <c r="B93" s="283">
        <f>D72</f>
        <v>-23000</v>
      </c>
      <c r="C93" s="285" t="str">
        <f>E72</f>
        <v>U</v>
      </c>
      <c r="D93" s="241"/>
      <c r="E93" s="241"/>
      <c r="F93" s="185"/>
      <c r="G93" s="185"/>
    </row>
    <row r="94" spans="1:10" ht="16.05" customHeight="1">
      <c r="A94" s="274" t="s">
        <v>262</v>
      </c>
      <c r="B94" s="283">
        <f>D67</f>
        <v>15000</v>
      </c>
      <c r="C94" s="281" t="str">
        <f>E74</f>
        <v>U</v>
      </c>
      <c r="D94" s="241"/>
      <c r="E94" s="241"/>
      <c r="F94" s="185"/>
      <c r="G94" s="185"/>
    </row>
    <row r="95" spans="1:10" ht="16.05" customHeight="1">
      <c r="A95" s="282" t="s">
        <v>222</v>
      </c>
      <c r="B95" s="276">
        <f>(D55-D25)*B55</f>
        <v>11000.000000000004</v>
      </c>
      <c r="C95" s="279" t="str">
        <f>IF(B95&gt;0,"F","U")</f>
        <v>F</v>
      </c>
      <c r="D95" s="370" t="s">
        <v>198</v>
      </c>
      <c r="E95" s="370"/>
      <c r="F95" s="185"/>
      <c r="G95" s="185"/>
    </row>
    <row r="96" spans="1:10" ht="14.4">
      <c r="A96" s="173" t="s">
        <v>265</v>
      </c>
      <c r="B96" s="277">
        <f>B97+B98</f>
        <v>-5000.0000000000036</v>
      </c>
      <c r="C96" s="280" t="str">
        <f>IF(B96&lt;0,"F","U")</f>
        <v>F</v>
      </c>
      <c r="D96" s="93"/>
      <c r="E96" s="93"/>
    </row>
    <row r="97" spans="1:6" ht="14.4">
      <c r="A97" s="274" t="s">
        <v>266</v>
      </c>
      <c r="B97" s="283">
        <f>D83</f>
        <v>-1875.0000000000034</v>
      </c>
      <c r="C97" s="281" t="str">
        <f>E83</f>
        <v>F</v>
      </c>
      <c r="D97" s="93"/>
      <c r="E97" s="93"/>
    </row>
    <row r="98" spans="1:6" ht="14.4">
      <c r="A98" s="274" t="s">
        <v>260</v>
      </c>
      <c r="B98" s="283">
        <f>D79</f>
        <v>-3125</v>
      </c>
      <c r="C98" s="281" t="str">
        <f>E79</f>
        <v>U</v>
      </c>
      <c r="D98" s="93"/>
      <c r="E98" s="93"/>
    </row>
    <row r="99" spans="1:6" ht="14.4">
      <c r="A99" s="173" t="s">
        <v>264</v>
      </c>
      <c r="B99" s="277">
        <f>B100+B101</f>
        <v>0</v>
      </c>
      <c r="C99" s="280" t="str">
        <f t="shared" ref="C99" si="13">IF(B99&gt;0,"F","U")</f>
        <v>U</v>
      </c>
      <c r="D99" s="93"/>
      <c r="E99" s="51"/>
    </row>
    <row r="100" spans="1:6" ht="14.4">
      <c r="A100" s="274" t="s">
        <v>267</v>
      </c>
      <c r="B100" s="283">
        <f>D84</f>
        <v>0</v>
      </c>
      <c r="C100" s="285" t="str">
        <f>E84</f>
        <v>U</v>
      </c>
      <c r="D100" s="93"/>
      <c r="E100" s="51"/>
    </row>
    <row r="101" spans="1:6" ht="14.4">
      <c r="A101" s="274" t="s">
        <v>268</v>
      </c>
      <c r="B101" s="283">
        <f>D80</f>
        <v>0</v>
      </c>
      <c r="C101" s="285" t="str">
        <f>E80</f>
        <v>U</v>
      </c>
      <c r="D101" s="93"/>
      <c r="E101" s="51"/>
    </row>
    <row r="102" spans="1:6" ht="14.4">
      <c r="A102" s="284" t="s">
        <v>226</v>
      </c>
      <c r="B102" s="286">
        <f>D81+D85</f>
        <v>0</v>
      </c>
      <c r="C102" s="285" t="str">
        <f t="shared" ref="C102" si="14">E81</f>
        <v>U</v>
      </c>
      <c r="D102" s="91"/>
    </row>
    <row r="103" spans="1:6" ht="14.4">
      <c r="A103" s="173" t="s">
        <v>269</v>
      </c>
      <c r="B103" s="277">
        <f>D77</f>
        <v>4000</v>
      </c>
      <c r="C103" s="287" t="str">
        <f>E77</f>
        <v>F</v>
      </c>
      <c r="D103" s="93"/>
    </row>
    <row r="104" spans="1:6" ht="15" thickBot="1">
      <c r="A104" s="174" t="s">
        <v>203</v>
      </c>
      <c r="B104" s="277">
        <f>E61</f>
        <v>12000</v>
      </c>
      <c r="C104" s="280"/>
      <c r="D104" s="91"/>
      <c r="F104" s="232"/>
    </row>
    <row r="105" spans="1:6" ht="31.95" customHeight="1" thickBot="1">
      <c r="A105" s="188" t="s">
        <v>223</v>
      </c>
      <c r="B105" s="186">
        <f>B104-B90</f>
        <v>2000</v>
      </c>
      <c r="C105" s="175" t="str">
        <f>IF(B105&gt;0,"F","U")</f>
        <v>F</v>
      </c>
      <c r="D105" s="106"/>
      <c r="E105" s="93"/>
      <c r="F105" s="232"/>
    </row>
    <row r="106" spans="1:6">
      <c r="A106" s="51"/>
      <c r="B106" s="187"/>
      <c r="C106" s="51"/>
      <c r="D106" s="51"/>
      <c r="E106" s="51"/>
    </row>
    <row r="108" spans="1:6" ht="14.4">
      <c r="A108" s="288" t="s">
        <v>49</v>
      </c>
      <c r="B108" t="s">
        <v>270</v>
      </c>
      <c r="C108" t="s">
        <v>271</v>
      </c>
    </row>
    <row r="109" spans="1:6" ht="14.4">
      <c r="A109" s="288" t="s">
        <v>50</v>
      </c>
      <c r="B109" t="s">
        <v>51</v>
      </c>
    </row>
    <row r="110" spans="1:6" ht="14.4">
      <c r="A110" s="288" t="s">
        <v>52</v>
      </c>
      <c r="B110" t="s">
        <v>53</v>
      </c>
    </row>
    <row r="111" spans="1:6" ht="14.4">
      <c r="A111" s="288" t="s">
        <v>54</v>
      </c>
      <c r="B111" t="s">
        <v>55</v>
      </c>
    </row>
  </sheetData>
  <mergeCells count="33">
    <mergeCell ref="A64:E65"/>
    <mergeCell ref="A1:J1"/>
    <mergeCell ref="A4:A6"/>
    <mergeCell ref="A7:A10"/>
    <mergeCell ref="A11:A20"/>
    <mergeCell ref="A23:E23"/>
    <mergeCell ref="A33:E33"/>
    <mergeCell ref="A43:E43"/>
    <mergeCell ref="I44:K45"/>
    <mergeCell ref="A53:E53"/>
    <mergeCell ref="A62:G62"/>
    <mergeCell ref="A63:E63"/>
    <mergeCell ref="B78:C78"/>
    <mergeCell ref="A66:B69"/>
    <mergeCell ref="F67:I69"/>
    <mergeCell ref="B70:C70"/>
    <mergeCell ref="B71:C71"/>
    <mergeCell ref="F71:I71"/>
    <mergeCell ref="B72:C72"/>
    <mergeCell ref="F72:I72"/>
    <mergeCell ref="F73:I73"/>
    <mergeCell ref="F74:J74"/>
    <mergeCell ref="A75:B77"/>
    <mergeCell ref="F75:I75"/>
    <mergeCell ref="F76:J76"/>
    <mergeCell ref="D92:E92"/>
    <mergeCell ref="D95:E95"/>
    <mergeCell ref="A79:A86"/>
    <mergeCell ref="B79:B82"/>
    <mergeCell ref="F79:I81"/>
    <mergeCell ref="B83:B86"/>
    <mergeCell ref="F83:I85"/>
    <mergeCell ref="A89:E8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3D0D-6E0D-4769-B4B1-D57FAB3E8FFA}">
  <dimension ref="A2:L25"/>
  <sheetViews>
    <sheetView workbookViewId="0">
      <selection activeCell="L13" sqref="L13"/>
    </sheetView>
  </sheetViews>
  <sheetFormatPr baseColWidth="10" defaultRowHeight="13.8"/>
  <cols>
    <col min="1" max="1" width="9.69921875" bestFit="1" customWidth="1"/>
    <col min="2" max="2" width="5.69921875" bestFit="1" customWidth="1"/>
    <col min="3" max="3" width="7.796875" customWidth="1"/>
    <col min="4" max="4" width="12.796875" customWidth="1"/>
    <col min="5" max="5" width="8.69921875" bestFit="1" customWidth="1"/>
    <col min="6" max="6" width="9.69921875" bestFit="1" customWidth="1"/>
    <col min="7" max="7" width="9.5" bestFit="1" customWidth="1"/>
    <col min="8" max="10" width="8.69921875" bestFit="1" customWidth="1"/>
  </cols>
  <sheetData>
    <row r="2" spans="1:12">
      <c r="A2" s="313"/>
      <c r="B2" s="314"/>
      <c r="C2" s="314"/>
      <c r="D2" s="315"/>
      <c r="E2" s="319">
        <v>2013</v>
      </c>
      <c r="F2" s="319"/>
      <c r="G2" s="319"/>
      <c r="H2" s="319">
        <v>2014</v>
      </c>
      <c r="I2" s="319"/>
      <c r="J2" s="319"/>
    </row>
    <row r="3" spans="1:12">
      <c r="A3" s="316"/>
      <c r="B3" s="317"/>
      <c r="C3" s="317"/>
      <c r="D3" s="318"/>
      <c r="E3" s="1" t="s">
        <v>56</v>
      </c>
      <c r="F3" s="1" t="s">
        <v>57</v>
      </c>
      <c r="G3" s="1" t="s">
        <v>58</v>
      </c>
      <c r="H3" s="1" t="s">
        <v>59</v>
      </c>
      <c r="I3" s="1" t="s">
        <v>60</v>
      </c>
      <c r="J3" s="1" t="s">
        <v>61</v>
      </c>
    </row>
    <row r="4" spans="1:12">
      <c r="A4" s="320" t="s">
        <v>0</v>
      </c>
      <c r="B4" s="320"/>
      <c r="C4" s="320"/>
      <c r="D4" s="320"/>
      <c r="E4" s="19">
        <v>250000</v>
      </c>
      <c r="F4" s="19">
        <v>240000</v>
      </c>
      <c r="G4" s="19">
        <v>260000</v>
      </c>
      <c r="H4" s="19">
        <v>180000</v>
      </c>
      <c r="I4" s="19">
        <v>210000</v>
      </c>
      <c r="J4" s="19">
        <v>230000</v>
      </c>
    </row>
    <row r="5" spans="1:12">
      <c r="A5" s="438" t="s">
        <v>22</v>
      </c>
      <c r="B5" s="444">
        <v>0.6</v>
      </c>
      <c r="C5" s="1" t="s">
        <v>64</v>
      </c>
      <c r="D5" s="44">
        <v>0.5</v>
      </c>
      <c r="E5" s="7">
        <f>$B$5*$D5*E$4</f>
        <v>75000</v>
      </c>
      <c r="F5" s="7">
        <f t="shared" ref="F5:J5" si="0">$B$5*$D5*F$4</f>
        <v>72000</v>
      </c>
      <c r="G5" s="7">
        <f t="shared" si="0"/>
        <v>78000</v>
      </c>
      <c r="H5" s="7">
        <f t="shared" si="0"/>
        <v>54000</v>
      </c>
      <c r="I5" s="7">
        <f t="shared" si="0"/>
        <v>63000</v>
      </c>
      <c r="J5" s="7">
        <f t="shared" si="0"/>
        <v>69000</v>
      </c>
    </row>
    <row r="6" spans="1:12">
      <c r="A6" s="439"/>
      <c r="B6" s="445"/>
      <c r="C6" s="1" t="s">
        <v>62</v>
      </c>
      <c r="D6" s="44">
        <v>0.3</v>
      </c>
      <c r="E6" s="7">
        <f t="shared" ref="E6:J7" si="1">$B$5*$D6*E$4</f>
        <v>45000</v>
      </c>
      <c r="F6" s="7">
        <f t="shared" si="1"/>
        <v>43200</v>
      </c>
      <c r="G6" s="7">
        <f t="shared" si="1"/>
        <v>46800</v>
      </c>
      <c r="H6" s="7">
        <f t="shared" si="1"/>
        <v>32400</v>
      </c>
      <c r="I6" s="7">
        <f t="shared" si="1"/>
        <v>37800</v>
      </c>
      <c r="J6" s="7">
        <f t="shared" si="1"/>
        <v>41400</v>
      </c>
    </row>
    <row r="7" spans="1:12">
      <c r="A7" s="439"/>
      <c r="B7" s="445"/>
      <c r="C7" s="1" t="s">
        <v>63</v>
      </c>
      <c r="D7" s="44">
        <f>1-D5-D6</f>
        <v>0.2</v>
      </c>
      <c r="E7" s="7">
        <f t="shared" si="1"/>
        <v>30000</v>
      </c>
      <c r="F7" s="7">
        <f t="shared" si="1"/>
        <v>28800</v>
      </c>
      <c r="G7" s="7">
        <f t="shared" si="1"/>
        <v>31200</v>
      </c>
      <c r="H7" s="7">
        <f t="shared" si="1"/>
        <v>21600</v>
      </c>
      <c r="I7" s="7">
        <f t="shared" si="1"/>
        <v>25200</v>
      </c>
      <c r="J7" s="7">
        <f t="shared" si="1"/>
        <v>27600</v>
      </c>
    </row>
    <row r="8" spans="1:12">
      <c r="A8" s="440"/>
      <c r="B8" s="446"/>
      <c r="C8" s="1" t="s">
        <v>11</v>
      </c>
      <c r="D8" s="44"/>
      <c r="E8" s="7">
        <f t="shared" ref="E8:J8" si="2">E7+E6+E5</f>
        <v>150000</v>
      </c>
      <c r="F8" s="7">
        <f t="shared" si="2"/>
        <v>144000</v>
      </c>
      <c r="G8" s="7">
        <f t="shared" si="2"/>
        <v>156000</v>
      </c>
      <c r="H8" s="7">
        <f t="shared" si="2"/>
        <v>108000</v>
      </c>
      <c r="I8" s="7">
        <f t="shared" si="2"/>
        <v>126000</v>
      </c>
      <c r="J8" s="7">
        <f t="shared" si="2"/>
        <v>138000</v>
      </c>
    </row>
    <row r="9" spans="1:12">
      <c r="A9" s="438" t="s">
        <v>5</v>
      </c>
      <c r="B9" s="324">
        <f>1-B5</f>
        <v>0.4</v>
      </c>
      <c r="C9" s="324"/>
      <c r="D9" s="324"/>
      <c r="E9" s="18">
        <f>$B$9*E4</f>
        <v>100000</v>
      </c>
      <c r="F9" s="18">
        <f t="shared" ref="F9:J9" si="3">$B$9*F4</f>
        <v>96000</v>
      </c>
      <c r="G9" s="18">
        <f t="shared" si="3"/>
        <v>104000</v>
      </c>
      <c r="H9" s="289">
        <f t="shared" si="3"/>
        <v>72000</v>
      </c>
      <c r="I9" s="289">
        <f t="shared" si="3"/>
        <v>84000</v>
      </c>
      <c r="J9" s="289">
        <f t="shared" si="3"/>
        <v>92000</v>
      </c>
      <c r="L9" t="s">
        <v>273</v>
      </c>
    </row>
    <row r="10" spans="1:12">
      <c r="A10" s="439"/>
      <c r="B10" s="441" t="s">
        <v>272</v>
      </c>
      <c r="C10" s="442"/>
      <c r="D10" s="443"/>
      <c r="E10" s="18">
        <f>E5</f>
        <v>75000</v>
      </c>
      <c r="F10" s="18">
        <f>F5+E6</f>
        <v>117000</v>
      </c>
      <c r="G10" s="18">
        <f>G5+F6+E7</f>
        <v>151200</v>
      </c>
      <c r="H10" s="289">
        <f t="shared" ref="H10:J10" si="4">H5+G6+F7</f>
        <v>129600</v>
      </c>
      <c r="I10" s="289">
        <f t="shared" si="4"/>
        <v>126600</v>
      </c>
      <c r="J10" s="289">
        <f t="shared" si="4"/>
        <v>128400</v>
      </c>
      <c r="L10" t="s">
        <v>274</v>
      </c>
    </row>
    <row r="11" spans="1:12">
      <c r="A11" s="440"/>
      <c r="B11" s="441" t="s">
        <v>11</v>
      </c>
      <c r="C11" s="442"/>
      <c r="D11" s="443"/>
      <c r="E11" s="18">
        <f>E9+E10</f>
        <v>175000</v>
      </c>
      <c r="F11" s="18">
        <f t="shared" ref="F11:J11" si="5">F9+F10</f>
        <v>213000</v>
      </c>
      <c r="G11" s="18">
        <f t="shared" si="5"/>
        <v>255200</v>
      </c>
      <c r="H11" s="289">
        <f t="shared" si="5"/>
        <v>201600</v>
      </c>
      <c r="I11" s="289">
        <f t="shared" si="5"/>
        <v>210600</v>
      </c>
      <c r="J11" s="289">
        <f t="shared" si="5"/>
        <v>220400</v>
      </c>
      <c r="L11" t="s">
        <v>275</v>
      </c>
    </row>
    <row r="12" spans="1:12">
      <c r="A12" s="325" t="s">
        <v>14</v>
      </c>
      <c r="B12" s="325"/>
      <c r="C12" s="325"/>
      <c r="D12" s="44">
        <v>0.7</v>
      </c>
      <c r="E12" s="7">
        <f>$D$12*E4</f>
        <v>175000</v>
      </c>
      <c r="F12" s="7">
        <f t="shared" ref="F12:I12" si="6">$D$12*F4</f>
        <v>168000</v>
      </c>
      <c r="G12" s="7">
        <f t="shared" si="6"/>
        <v>182000</v>
      </c>
      <c r="H12" s="7">
        <f t="shared" si="6"/>
        <v>125999.99999999999</v>
      </c>
      <c r="I12" s="7">
        <f t="shared" si="6"/>
        <v>147000</v>
      </c>
      <c r="J12" s="7">
        <f>$D$12*J4</f>
        <v>161000</v>
      </c>
    </row>
    <row r="13" spans="1:12">
      <c r="A13" s="438" t="s">
        <v>22</v>
      </c>
      <c r="B13" s="324">
        <v>1</v>
      </c>
      <c r="C13" s="1" t="s">
        <v>64</v>
      </c>
      <c r="D13" s="44">
        <v>0</v>
      </c>
      <c r="E13" s="7"/>
      <c r="F13" s="7"/>
      <c r="G13" s="7"/>
      <c r="H13" s="7"/>
      <c r="I13" s="7"/>
      <c r="J13" s="7"/>
    </row>
    <row r="14" spans="1:12">
      <c r="A14" s="439"/>
      <c r="B14" s="327"/>
      <c r="C14" s="1" t="s">
        <v>62</v>
      </c>
      <c r="D14" s="44">
        <v>0.65</v>
      </c>
      <c r="E14" s="7">
        <f>$D14*E$12</f>
        <v>113750</v>
      </c>
      <c r="F14" s="7">
        <f t="shared" ref="F14:J15" si="7">$D14*F$12</f>
        <v>109200</v>
      </c>
      <c r="G14" s="7">
        <f t="shared" si="7"/>
        <v>118300</v>
      </c>
      <c r="H14" s="7">
        <f t="shared" si="7"/>
        <v>81900</v>
      </c>
      <c r="I14" s="7">
        <f t="shared" si="7"/>
        <v>95550</v>
      </c>
      <c r="J14" s="7">
        <f t="shared" si="7"/>
        <v>104650</v>
      </c>
    </row>
    <row r="15" spans="1:12">
      <c r="A15" s="440"/>
      <c r="B15" s="327"/>
      <c r="C15" s="1" t="s">
        <v>63</v>
      </c>
      <c r="D15" s="44">
        <f>1-D13-D14</f>
        <v>0.35</v>
      </c>
      <c r="E15" s="7">
        <f>$D15*E$12</f>
        <v>61249.999999999993</v>
      </c>
      <c r="F15" s="7">
        <f t="shared" si="7"/>
        <v>58799.999999999993</v>
      </c>
      <c r="G15" s="7">
        <f t="shared" si="7"/>
        <v>63699.999999999993</v>
      </c>
      <c r="H15" s="7">
        <f t="shared" si="7"/>
        <v>44099.999999999993</v>
      </c>
      <c r="I15" s="7">
        <f t="shared" si="7"/>
        <v>51450</v>
      </c>
      <c r="J15" s="7">
        <f t="shared" si="7"/>
        <v>56350</v>
      </c>
    </row>
    <row r="16" spans="1:12">
      <c r="A16" s="438" t="s">
        <v>5</v>
      </c>
      <c r="B16" s="324">
        <f>1-B13</f>
        <v>0</v>
      </c>
      <c r="C16" s="324"/>
      <c r="D16" s="324"/>
      <c r="E16" s="7"/>
      <c r="F16" s="7"/>
      <c r="G16" s="7"/>
      <c r="H16" s="7"/>
      <c r="I16" s="7"/>
      <c r="J16" s="7"/>
    </row>
    <row r="17" spans="1:12">
      <c r="A17" s="440"/>
      <c r="B17" s="324" t="s">
        <v>276</v>
      </c>
      <c r="C17" s="324"/>
      <c r="D17" s="324"/>
      <c r="E17" s="7"/>
      <c r="F17" s="7">
        <f>E14</f>
        <v>113750</v>
      </c>
      <c r="G17" s="7">
        <f>F14+E15</f>
        <v>170450</v>
      </c>
      <c r="H17" s="223">
        <f t="shared" ref="H17:J17" si="8">G14+F15</f>
        <v>177100</v>
      </c>
      <c r="I17" s="223">
        <f t="shared" si="8"/>
        <v>145600</v>
      </c>
      <c r="J17" s="223">
        <f t="shared" si="8"/>
        <v>139650</v>
      </c>
      <c r="L17" t="s">
        <v>277</v>
      </c>
    </row>
    <row r="19" spans="1:12">
      <c r="A19" s="325" t="s">
        <v>29</v>
      </c>
      <c r="B19" s="325"/>
      <c r="C19" s="325"/>
      <c r="D19" s="325"/>
      <c r="E19" s="7">
        <f>E9+E5</f>
        <v>175000</v>
      </c>
      <c r="F19" s="7">
        <f>F5+E6+F9</f>
        <v>213000</v>
      </c>
      <c r="G19" s="7">
        <f>G5+F6+E7+G9</f>
        <v>255200</v>
      </c>
      <c r="H19" s="7">
        <f>H5+G6+F7+H9</f>
        <v>201600</v>
      </c>
      <c r="I19" s="7">
        <f>I5+H6+G7+I9</f>
        <v>210600</v>
      </c>
      <c r="J19" s="7">
        <f>J5+I6+H7+J9</f>
        <v>220400</v>
      </c>
      <c r="K19" s="7" t="e">
        <f>K5+J6+I7+L9</f>
        <v>#VALUE!</v>
      </c>
      <c r="L19" s="7" t="e">
        <f>L5+K6+J7+#REF!</f>
        <v>#REF!</v>
      </c>
    </row>
    <row r="20" spans="1:12">
      <c r="A20" s="322" t="s">
        <v>5</v>
      </c>
      <c r="B20" s="322"/>
      <c r="C20" s="322"/>
      <c r="D20" s="322"/>
      <c r="E20" s="7">
        <f t="shared" ref="E20:J20" si="9">E9</f>
        <v>100000</v>
      </c>
      <c r="F20" s="7">
        <f t="shared" si="9"/>
        <v>96000</v>
      </c>
      <c r="G20" s="7">
        <f t="shared" si="9"/>
        <v>104000</v>
      </c>
      <c r="H20" s="7">
        <f t="shared" si="9"/>
        <v>72000</v>
      </c>
      <c r="I20" s="7">
        <f t="shared" si="9"/>
        <v>84000</v>
      </c>
      <c r="J20" s="7">
        <f t="shared" si="9"/>
        <v>92000</v>
      </c>
      <c r="K20" s="7" t="str">
        <f>L9</f>
        <v>Q1</v>
      </c>
      <c r="L20" s="7" t="e">
        <f>#REF!</f>
        <v>#REF!</v>
      </c>
    </row>
    <row r="21" spans="1:12">
      <c r="A21" s="322" t="s">
        <v>65</v>
      </c>
      <c r="B21" s="322"/>
      <c r="C21" s="322"/>
      <c r="D21" s="322"/>
      <c r="E21" s="7">
        <f>E5</f>
        <v>75000</v>
      </c>
      <c r="F21" s="7">
        <f>F5+E6</f>
        <v>117000</v>
      </c>
      <c r="G21" s="7">
        <f t="shared" ref="G21:L21" si="10">G5+F6+E7</f>
        <v>151200</v>
      </c>
      <c r="H21" s="7">
        <f t="shared" si="10"/>
        <v>129600</v>
      </c>
      <c r="I21" s="7">
        <f t="shared" si="10"/>
        <v>126600</v>
      </c>
      <c r="J21" s="7">
        <f t="shared" si="10"/>
        <v>128400</v>
      </c>
      <c r="K21" s="7">
        <f t="shared" si="10"/>
        <v>66600</v>
      </c>
      <c r="L21" s="7">
        <f t="shared" si="10"/>
        <v>27600</v>
      </c>
    </row>
    <row r="22" spans="1:12">
      <c r="A22" s="320" t="s">
        <v>30</v>
      </c>
      <c r="B22" s="320"/>
      <c r="C22" s="320"/>
      <c r="D22" s="320"/>
      <c r="E22" s="7">
        <f>E13+E16</f>
        <v>0</v>
      </c>
      <c r="F22" s="7">
        <f>F13+E14+F16</f>
        <v>113750</v>
      </c>
      <c r="G22" s="7">
        <f t="shared" ref="G22:L22" si="11">G13+F14+E15+G16</f>
        <v>170450</v>
      </c>
      <c r="H22" s="7">
        <f t="shared" si="11"/>
        <v>177100</v>
      </c>
      <c r="I22" s="7">
        <f t="shared" si="11"/>
        <v>145600</v>
      </c>
      <c r="J22" s="7">
        <f t="shared" si="11"/>
        <v>139650</v>
      </c>
      <c r="K22" s="7">
        <f t="shared" si="11"/>
        <v>156100</v>
      </c>
      <c r="L22" s="7">
        <f t="shared" si="11"/>
        <v>56350</v>
      </c>
    </row>
    <row r="23" spans="1:12">
      <c r="A23" s="322" t="s">
        <v>5</v>
      </c>
      <c r="B23" s="322"/>
      <c r="C23" s="322"/>
      <c r="D23" s="322"/>
      <c r="E23" s="7">
        <f>E16</f>
        <v>0</v>
      </c>
      <c r="F23" s="7">
        <f t="shared" ref="F23:L23" si="12">F16</f>
        <v>0</v>
      </c>
      <c r="G23" s="7">
        <f t="shared" si="12"/>
        <v>0</v>
      </c>
      <c r="H23" s="7">
        <f t="shared" si="12"/>
        <v>0</v>
      </c>
      <c r="I23" s="7">
        <f t="shared" si="12"/>
        <v>0</v>
      </c>
      <c r="J23" s="7">
        <f t="shared" si="12"/>
        <v>0</v>
      </c>
      <c r="K23" s="7">
        <f t="shared" si="12"/>
        <v>0</v>
      </c>
      <c r="L23" s="7">
        <f t="shared" si="12"/>
        <v>0</v>
      </c>
    </row>
    <row r="24" spans="1:12">
      <c r="A24" s="322" t="s">
        <v>65</v>
      </c>
      <c r="B24" s="322"/>
      <c r="C24" s="322"/>
      <c r="D24" s="322"/>
      <c r="E24" s="7">
        <f>E13</f>
        <v>0</v>
      </c>
      <c r="F24" s="7">
        <f>F13+E14</f>
        <v>113750</v>
      </c>
      <c r="G24" s="7">
        <f t="shared" ref="G24:L24" si="13">G13+F14+E15</f>
        <v>170450</v>
      </c>
      <c r="H24" s="7">
        <f t="shared" si="13"/>
        <v>177100</v>
      </c>
      <c r="I24" s="7">
        <f t="shared" si="13"/>
        <v>145600</v>
      </c>
      <c r="J24" s="7">
        <f t="shared" si="13"/>
        <v>139650</v>
      </c>
      <c r="K24" s="7">
        <f t="shared" si="13"/>
        <v>156100</v>
      </c>
      <c r="L24" s="7">
        <f t="shared" si="13"/>
        <v>56350</v>
      </c>
    </row>
    <row r="25" spans="1:12">
      <c r="A25" s="328" t="s">
        <v>31</v>
      </c>
      <c r="B25" s="328"/>
      <c r="C25" s="328"/>
      <c r="D25" s="328"/>
      <c r="E25" s="7">
        <f>E19-E22</f>
        <v>175000</v>
      </c>
      <c r="F25" s="7">
        <f t="shared" ref="F25:L25" si="14">F19-F22</f>
        <v>99250</v>
      </c>
      <c r="G25" s="7">
        <f t="shared" si="14"/>
        <v>84750</v>
      </c>
      <c r="H25" s="7">
        <f t="shared" si="14"/>
        <v>24500</v>
      </c>
      <c r="I25" s="7">
        <f t="shared" si="14"/>
        <v>65000</v>
      </c>
      <c r="J25" s="7">
        <f t="shared" si="14"/>
        <v>80750</v>
      </c>
      <c r="K25" s="7" t="e">
        <f t="shared" si="14"/>
        <v>#VALUE!</v>
      </c>
      <c r="L25" s="7" t="e">
        <f t="shared" si="14"/>
        <v>#REF!</v>
      </c>
    </row>
  </sheetData>
  <mergeCells count="23">
    <mergeCell ref="A21:D21"/>
    <mergeCell ref="A2:D3"/>
    <mergeCell ref="E2:G2"/>
    <mergeCell ref="H2:J2"/>
    <mergeCell ref="A4:D4"/>
    <mergeCell ref="A5:A8"/>
    <mergeCell ref="B5:B8"/>
    <mergeCell ref="A22:D22"/>
    <mergeCell ref="A23:D23"/>
    <mergeCell ref="A24:D24"/>
    <mergeCell ref="A25:D25"/>
    <mergeCell ref="B9:D9"/>
    <mergeCell ref="A12:C12"/>
    <mergeCell ref="A13:A15"/>
    <mergeCell ref="B13:B15"/>
    <mergeCell ref="B16:D16"/>
    <mergeCell ref="A19:D19"/>
    <mergeCell ref="B10:D10"/>
    <mergeCell ref="B11:D11"/>
    <mergeCell ref="A9:A11"/>
    <mergeCell ref="B17:D17"/>
    <mergeCell ref="A16:A17"/>
    <mergeCell ref="A20:D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E91B-E7D1-4C50-B41F-EC9ED67E2AD9}">
  <dimension ref="A1:F44"/>
  <sheetViews>
    <sheetView topLeftCell="A9" zoomScale="85" zoomScaleNormal="85" workbookViewId="0">
      <selection activeCell="C19" sqref="C19"/>
    </sheetView>
  </sheetViews>
  <sheetFormatPr baseColWidth="10" defaultRowHeight="13.8"/>
  <cols>
    <col min="1" max="1" width="29.8984375" bestFit="1" customWidth="1"/>
  </cols>
  <sheetData>
    <row r="1" spans="1:6">
      <c r="A1" s="3" t="s">
        <v>121</v>
      </c>
      <c r="B1" s="3" t="s">
        <v>13</v>
      </c>
      <c r="C1" s="3" t="s">
        <v>25</v>
      </c>
      <c r="D1" s="3" t="s">
        <v>26</v>
      </c>
      <c r="F1" s="52" t="s">
        <v>83</v>
      </c>
    </row>
    <row r="2" spans="1:6">
      <c r="A2" s="1" t="s">
        <v>0</v>
      </c>
      <c r="B2" s="19">
        <v>0</v>
      </c>
      <c r="C2" s="19">
        <v>2600</v>
      </c>
      <c r="D2" s="19">
        <v>4000</v>
      </c>
      <c r="F2" s="1"/>
    </row>
    <row r="3" spans="1:6">
      <c r="A3" s="1" t="s">
        <v>3</v>
      </c>
      <c r="B3" s="4">
        <f>SUM(B4:B5)</f>
        <v>0</v>
      </c>
      <c r="C3" s="4">
        <f>SUM(C4:C6)</f>
        <v>2200</v>
      </c>
      <c r="D3" s="4">
        <f>SUM(D4:D6)</f>
        <v>3250</v>
      </c>
      <c r="F3" s="1"/>
    </row>
    <row r="4" spans="1:6">
      <c r="A4" s="290" t="s">
        <v>146</v>
      </c>
      <c r="B4" s="4">
        <v>0</v>
      </c>
      <c r="C4" s="4">
        <f>$F$4*C2</f>
        <v>1950</v>
      </c>
      <c r="D4" s="4">
        <f>$F$4*D2</f>
        <v>3000</v>
      </c>
      <c r="F4" s="17">
        <v>0.75</v>
      </c>
    </row>
    <row r="5" spans="1:6">
      <c r="A5" s="290" t="s">
        <v>147</v>
      </c>
      <c r="B5" s="4">
        <v>0</v>
      </c>
      <c r="C5" s="4">
        <f>$F$5</f>
        <v>50</v>
      </c>
      <c r="D5" s="4">
        <f>$F$5</f>
        <v>50</v>
      </c>
      <c r="F5" s="20">
        <v>50</v>
      </c>
    </row>
    <row r="6" spans="1:6">
      <c r="A6" s="290" t="s">
        <v>107</v>
      </c>
      <c r="B6" s="4">
        <v>0</v>
      </c>
      <c r="C6" s="4">
        <f>$B$44</f>
        <v>200</v>
      </c>
      <c r="D6" s="4">
        <f>$B$44</f>
        <v>200</v>
      </c>
      <c r="F6" s="1"/>
    </row>
    <row r="7" spans="1:6">
      <c r="A7" s="1" t="s">
        <v>122</v>
      </c>
      <c r="B7" s="4">
        <v>0</v>
      </c>
      <c r="C7" s="4">
        <f>$B$37*B32</f>
        <v>100</v>
      </c>
      <c r="D7" s="4">
        <f>$B$37*C32</f>
        <v>80</v>
      </c>
      <c r="F7" s="1"/>
    </row>
    <row r="8" spans="1:6">
      <c r="A8" s="1" t="s">
        <v>123</v>
      </c>
      <c r="B8" s="4">
        <f>B2-B3-B7</f>
        <v>0</v>
      </c>
      <c r="C8" s="4">
        <f>C2-C3-C7</f>
        <v>300</v>
      </c>
      <c r="D8" s="4">
        <f>D2-D3-D7</f>
        <v>670</v>
      </c>
      <c r="F8" s="1"/>
    </row>
    <row r="9" spans="1:6">
      <c r="A9" s="1" t="s">
        <v>124</v>
      </c>
      <c r="B9" s="4"/>
      <c r="C9" s="4">
        <f>40%*C8</f>
        <v>120</v>
      </c>
      <c r="D9" s="4">
        <f>40%*D8</f>
        <v>268</v>
      </c>
      <c r="F9" s="1"/>
    </row>
    <row r="10" spans="1:6">
      <c r="A10" s="3" t="s">
        <v>125</v>
      </c>
      <c r="B10" s="5">
        <f>B8-B9</f>
        <v>0</v>
      </c>
      <c r="C10" s="5">
        <f>C8-C9</f>
        <v>180</v>
      </c>
      <c r="D10" s="5">
        <f>D8-D9</f>
        <v>402</v>
      </c>
      <c r="F10" s="1"/>
    </row>
    <row r="11" spans="1:6">
      <c r="F11" s="1"/>
    </row>
    <row r="12" spans="1:6">
      <c r="A12" s="3" t="s">
        <v>126</v>
      </c>
      <c r="B12" s="3" t="s">
        <v>13</v>
      </c>
      <c r="C12" s="3" t="s">
        <v>25</v>
      </c>
      <c r="D12" s="3" t="s">
        <v>26</v>
      </c>
      <c r="F12" s="1"/>
    </row>
    <row r="13" spans="1:6">
      <c r="A13" s="3" t="s">
        <v>127</v>
      </c>
      <c r="B13" s="5">
        <v>0</v>
      </c>
      <c r="C13" s="5">
        <f>B21</f>
        <v>500</v>
      </c>
      <c r="D13" s="5">
        <f>C21</f>
        <v>330</v>
      </c>
      <c r="F13" s="1"/>
    </row>
    <row r="14" spans="1:6">
      <c r="A14" s="1" t="s">
        <v>128</v>
      </c>
      <c r="B14" s="4">
        <f>B30-B32</f>
        <v>500</v>
      </c>
      <c r="C14" s="4">
        <v>0</v>
      </c>
      <c r="D14" s="4">
        <v>0</v>
      </c>
      <c r="F14" s="1"/>
    </row>
    <row r="15" spans="1:6">
      <c r="A15" s="1" t="s">
        <v>129</v>
      </c>
      <c r="B15" s="4">
        <v>0</v>
      </c>
      <c r="C15" s="4">
        <f>C10+C6</f>
        <v>380</v>
      </c>
      <c r="D15" s="4">
        <f>D10+D6</f>
        <v>602</v>
      </c>
      <c r="F15" s="1"/>
    </row>
    <row r="16" spans="1:6">
      <c r="A16" s="1" t="s">
        <v>130</v>
      </c>
      <c r="B16" s="4">
        <f>SUM(B14:B15)</f>
        <v>500</v>
      </c>
      <c r="C16" s="4">
        <f>SUM(C14:C15)</f>
        <v>380</v>
      </c>
      <c r="D16" s="4">
        <f>SUM(D14:D15)</f>
        <v>602</v>
      </c>
      <c r="F16" s="1"/>
    </row>
    <row r="17" spans="1:6">
      <c r="A17" s="1" t="s">
        <v>131</v>
      </c>
      <c r="B17" s="4">
        <v>0</v>
      </c>
      <c r="C17" s="4">
        <f>C26-B26</f>
        <v>260</v>
      </c>
      <c r="D17" s="4">
        <f>D26-C26</f>
        <v>140</v>
      </c>
      <c r="F17" s="1"/>
    </row>
    <row r="18" spans="1:6">
      <c r="A18" s="1" t="s">
        <v>132</v>
      </c>
      <c r="B18" s="4">
        <v>0</v>
      </c>
      <c r="C18" s="4">
        <f>$B$39</f>
        <v>200</v>
      </c>
      <c r="D18" s="4">
        <f>$B$39</f>
        <v>200</v>
      </c>
      <c r="F18" s="1"/>
    </row>
    <row r="19" spans="1:6">
      <c r="A19" s="1" t="s">
        <v>133</v>
      </c>
      <c r="B19" s="4">
        <v>0</v>
      </c>
      <c r="C19" s="4">
        <f>C10/2</f>
        <v>90</v>
      </c>
      <c r="D19" s="4">
        <f>D10/2</f>
        <v>201</v>
      </c>
      <c r="F19" s="1"/>
    </row>
    <row r="20" spans="1:6">
      <c r="A20" s="1" t="s">
        <v>134</v>
      </c>
      <c r="B20" s="4">
        <f>SUM(B17:B19)</f>
        <v>0</v>
      </c>
      <c r="C20" s="4">
        <f>SUM(C17:C19)</f>
        <v>550</v>
      </c>
      <c r="D20" s="4">
        <f>SUM(D17:D19)</f>
        <v>541</v>
      </c>
      <c r="F20" s="1"/>
    </row>
    <row r="21" spans="1:6">
      <c r="A21" s="3" t="s">
        <v>135</v>
      </c>
      <c r="B21" s="5">
        <f>B13+B16-B20</f>
        <v>500</v>
      </c>
      <c r="C21" s="5">
        <f>C13+C16-C20</f>
        <v>330</v>
      </c>
      <c r="D21" s="5">
        <f>D13+D16-D20</f>
        <v>391</v>
      </c>
      <c r="F21" s="1"/>
    </row>
    <row r="22" spans="1:6">
      <c r="F22" s="1"/>
    </row>
    <row r="23" spans="1:6">
      <c r="A23" s="3" t="s">
        <v>136</v>
      </c>
      <c r="B23" s="3" t="s">
        <v>13</v>
      </c>
      <c r="C23" s="3" t="s">
        <v>25</v>
      </c>
      <c r="D23" s="3" t="s">
        <v>26</v>
      </c>
      <c r="F23" s="1"/>
    </row>
    <row r="24" spans="1:6">
      <c r="A24" s="1" t="s">
        <v>137</v>
      </c>
      <c r="B24" s="1"/>
      <c r="C24" s="1"/>
      <c r="D24" s="1"/>
      <c r="F24" s="1"/>
    </row>
    <row r="25" spans="1:6">
      <c r="A25" s="1" t="s">
        <v>138</v>
      </c>
      <c r="B25" s="42">
        <v>2000</v>
      </c>
      <c r="C25" s="7">
        <f>B25-C6</f>
        <v>1800</v>
      </c>
      <c r="D25" s="7">
        <f>C25-D6</f>
        <v>1600</v>
      </c>
      <c r="F25" s="1"/>
    </row>
    <row r="26" spans="1:6">
      <c r="A26" s="1" t="s">
        <v>139</v>
      </c>
      <c r="B26" s="7">
        <f>10%*B2</f>
        <v>0</v>
      </c>
      <c r="C26" s="7">
        <f>$F$26*C2</f>
        <v>260</v>
      </c>
      <c r="D26" s="7">
        <f>$F$26*D2</f>
        <v>400</v>
      </c>
      <c r="F26" s="17">
        <v>0.1</v>
      </c>
    </row>
    <row r="27" spans="1:6">
      <c r="A27" s="1" t="s">
        <v>5</v>
      </c>
      <c r="B27" s="7">
        <f>B21</f>
        <v>500</v>
      </c>
      <c r="C27" s="7">
        <f>C21</f>
        <v>330</v>
      </c>
      <c r="D27" s="7">
        <f>D21</f>
        <v>391</v>
      </c>
      <c r="F27" s="1"/>
    </row>
    <row r="28" spans="1:6">
      <c r="A28" s="3" t="s">
        <v>140</v>
      </c>
      <c r="B28" s="3">
        <f>SUM(B24:B27)</f>
        <v>2500</v>
      </c>
      <c r="C28" s="3">
        <f>SUM(C24:C27)</f>
        <v>2390</v>
      </c>
      <c r="D28" s="3">
        <f>SUM(D24:D27)</f>
        <v>2391</v>
      </c>
      <c r="F28" s="1"/>
    </row>
    <row r="29" spans="1:6">
      <c r="A29" s="1" t="s">
        <v>141</v>
      </c>
      <c r="B29" s="1"/>
      <c r="C29" s="1"/>
      <c r="D29" s="1"/>
      <c r="F29" s="1"/>
    </row>
    <row r="30" spans="1:6">
      <c r="A30" s="1" t="s">
        <v>142</v>
      </c>
      <c r="B30" s="42">
        <v>1500</v>
      </c>
      <c r="C30" s="1">
        <f>B30</f>
        <v>1500</v>
      </c>
      <c r="D30" s="1">
        <f>C30</f>
        <v>1500</v>
      </c>
      <c r="F30" s="1"/>
    </row>
    <row r="31" spans="1:6">
      <c r="A31" s="1" t="s">
        <v>143</v>
      </c>
      <c r="B31" s="7">
        <f>B10-B19</f>
        <v>0</v>
      </c>
      <c r="C31" s="7">
        <f>C10-C19</f>
        <v>90</v>
      </c>
      <c r="D31" s="7">
        <f>D10-D19+C31</f>
        <v>291</v>
      </c>
      <c r="F31" s="1"/>
    </row>
    <row r="32" spans="1:6">
      <c r="A32" s="1" t="s">
        <v>144</v>
      </c>
      <c r="B32" s="42">
        <v>1000</v>
      </c>
      <c r="C32" s="7">
        <f>B32-C18</f>
        <v>800</v>
      </c>
      <c r="D32" s="7">
        <f>C32-D18</f>
        <v>600</v>
      </c>
      <c r="F32" s="1"/>
    </row>
    <row r="33" spans="1:6">
      <c r="A33" s="3" t="s">
        <v>145</v>
      </c>
      <c r="B33" s="3">
        <f>SUM(B29:B32)</f>
        <v>2500</v>
      </c>
      <c r="C33" s="3">
        <f>SUM(C29:C32)</f>
        <v>2390</v>
      </c>
      <c r="D33" s="3">
        <f>SUM(D29:D32)</f>
        <v>2391</v>
      </c>
      <c r="F33" s="1"/>
    </row>
    <row r="35" spans="1:6">
      <c r="A35" s="428" t="s">
        <v>148</v>
      </c>
      <c r="B35" s="429"/>
    </row>
    <row r="36" spans="1:6">
      <c r="A36" s="1" t="s">
        <v>149</v>
      </c>
      <c r="B36" s="42">
        <f>1000</f>
        <v>1000</v>
      </c>
    </row>
    <row r="37" spans="1:6">
      <c r="A37" s="1" t="s">
        <v>150</v>
      </c>
      <c r="B37" s="44">
        <v>0.1</v>
      </c>
    </row>
    <row r="38" spans="1:6">
      <c r="A38" s="1" t="s">
        <v>151</v>
      </c>
      <c r="B38" s="42">
        <v>5</v>
      </c>
    </row>
    <row r="39" spans="1:6">
      <c r="A39" s="1" t="s">
        <v>152</v>
      </c>
      <c r="B39" s="42">
        <f>B36/B38</f>
        <v>200</v>
      </c>
    </row>
    <row r="41" spans="1:6">
      <c r="A41" s="428" t="s">
        <v>137</v>
      </c>
      <c r="B41" s="429"/>
    </row>
    <row r="42" spans="1:6">
      <c r="A42" s="1" t="s">
        <v>149</v>
      </c>
      <c r="B42" s="42">
        <f>B25</f>
        <v>2000</v>
      </c>
    </row>
    <row r="43" spans="1:6">
      <c r="A43" s="1" t="s">
        <v>151</v>
      </c>
      <c r="B43" s="42">
        <v>10</v>
      </c>
    </row>
    <row r="44" spans="1:6">
      <c r="A44" s="1" t="s">
        <v>153</v>
      </c>
      <c r="B44" s="42">
        <f>B42/B43</f>
        <v>200</v>
      </c>
    </row>
  </sheetData>
  <mergeCells count="2">
    <mergeCell ref="A35:B35"/>
    <mergeCell ref="A41:B4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5856-7B41-4533-B729-9194F66EB617}">
  <dimension ref="A1:I51"/>
  <sheetViews>
    <sheetView topLeftCell="A25" workbookViewId="0">
      <selection activeCell="C51" sqref="C51"/>
    </sheetView>
  </sheetViews>
  <sheetFormatPr baseColWidth="10" defaultRowHeight="13.8"/>
  <cols>
    <col min="1" max="1" width="12.69921875" customWidth="1"/>
    <col min="2" max="2" width="18.19921875" bestFit="1" customWidth="1"/>
    <col min="3" max="4" width="9.69921875" bestFit="1" customWidth="1"/>
    <col min="5" max="6" width="10.19921875" bestFit="1" customWidth="1"/>
    <col min="7" max="7" width="8.796875"/>
    <col min="8" max="8" width="5.296875" bestFit="1" customWidth="1"/>
    <col min="9" max="9" width="21.296875" customWidth="1"/>
  </cols>
  <sheetData>
    <row r="1" spans="1:9">
      <c r="A1" s="1"/>
      <c r="B1" s="1"/>
      <c r="C1" s="1" t="s">
        <v>253</v>
      </c>
      <c r="D1" s="1" t="s">
        <v>9</v>
      </c>
      <c r="E1" s="1" t="s">
        <v>254</v>
      </c>
      <c r="F1" s="1" t="s">
        <v>36</v>
      </c>
      <c r="H1" s="328" t="s">
        <v>170</v>
      </c>
      <c r="I1" s="328"/>
    </row>
    <row r="2" spans="1:9">
      <c r="A2" s="327" t="s">
        <v>24</v>
      </c>
      <c r="B2" s="1" t="s">
        <v>74</v>
      </c>
      <c r="C2" s="42">
        <v>1000</v>
      </c>
      <c r="D2" s="42">
        <v>1200</v>
      </c>
      <c r="E2" s="42">
        <v>1400</v>
      </c>
      <c r="F2" s="42">
        <v>1600</v>
      </c>
      <c r="H2" s="1"/>
      <c r="I2" s="1"/>
    </row>
    <row r="3" spans="1:9">
      <c r="A3" s="327"/>
      <c r="B3" s="1" t="s">
        <v>75</v>
      </c>
      <c r="C3" s="1">
        <f>H4*C2</f>
        <v>100</v>
      </c>
      <c r="D3" s="1">
        <f>C4</f>
        <v>120</v>
      </c>
      <c r="E3" s="1">
        <f>D4</f>
        <v>140</v>
      </c>
      <c r="F3" s="1">
        <f>E4</f>
        <v>160</v>
      </c>
      <c r="H3" s="1"/>
      <c r="I3" s="1"/>
    </row>
    <row r="4" spans="1:9">
      <c r="A4" s="327"/>
      <c r="B4" s="1" t="s">
        <v>76</v>
      </c>
      <c r="C4" s="1">
        <f>D2*$H$4</f>
        <v>120</v>
      </c>
      <c r="D4" s="1">
        <f>E2*$H$4</f>
        <v>140</v>
      </c>
      <c r="E4" s="1">
        <f>F2*$H$4</f>
        <v>160</v>
      </c>
      <c r="F4" s="1">
        <f>G2*$H$4</f>
        <v>0</v>
      </c>
      <c r="H4" s="44">
        <v>0.1</v>
      </c>
      <c r="I4" s="1"/>
    </row>
    <row r="5" spans="1:9">
      <c r="A5" s="327"/>
      <c r="B5" s="1" t="s">
        <v>77</v>
      </c>
      <c r="C5" s="1">
        <f>C2-C3+C4</f>
        <v>1020</v>
      </c>
      <c r="D5" s="1">
        <f>D2-D3+D4</f>
        <v>1220</v>
      </c>
      <c r="E5" s="1">
        <f>E2-E3+E4</f>
        <v>1420</v>
      </c>
      <c r="F5" s="1">
        <f>F2-F3+F4</f>
        <v>1440</v>
      </c>
      <c r="H5" s="1"/>
      <c r="I5" s="1"/>
    </row>
    <row r="6" spans="1:9">
      <c r="A6" s="327" t="s">
        <v>7</v>
      </c>
      <c r="B6" s="1" t="s">
        <v>78</v>
      </c>
      <c r="C6" s="1">
        <f>$H$6*C5</f>
        <v>10200</v>
      </c>
      <c r="D6" s="1">
        <f>$H$6*D5</f>
        <v>12200</v>
      </c>
      <c r="E6" s="1">
        <f>$H$6*E5</f>
        <v>14200</v>
      </c>
      <c r="F6" s="1">
        <f>$H$6*F5</f>
        <v>14400</v>
      </c>
      <c r="H6" s="42">
        <v>10</v>
      </c>
      <c r="I6" s="1" t="s">
        <v>154</v>
      </c>
    </row>
    <row r="7" spans="1:9">
      <c r="A7" s="327"/>
      <c r="B7" s="1" t="s">
        <v>75</v>
      </c>
      <c r="C7" s="1">
        <f>H8*C6</f>
        <v>510</v>
      </c>
      <c r="D7" s="1">
        <f>C8</f>
        <v>610</v>
      </c>
      <c r="E7" s="1">
        <f>D8</f>
        <v>710</v>
      </c>
      <c r="F7" s="1">
        <f>E8</f>
        <v>720</v>
      </c>
      <c r="H7" s="1"/>
      <c r="I7" s="1"/>
    </row>
    <row r="8" spans="1:9">
      <c r="A8" s="327"/>
      <c r="B8" s="1" t="s">
        <v>76</v>
      </c>
      <c r="C8" s="1">
        <f>$H$8*D6</f>
        <v>610</v>
      </c>
      <c r="D8" s="1">
        <f>$H$8*E6</f>
        <v>710</v>
      </c>
      <c r="E8" s="1">
        <f>$H$8*F6</f>
        <v>720</v>
      </c>
      <c r="F8" s="1">
        <f>$H$8*G6</f>
        <v>0</v>
      </c>
      <c r="H8" s="44">
        <v>0.05</v>
      </c>
      <c r="I8" s="1"/>
    </row>
    <row r="9" spans="1:9">
      <c r="A9" s="327"/>
      <c r="B9" s="1" t="s">
        <v>79</v>
      </c>
      <c r="C9" s="1">
        <f>C6-C7+C8</f>
        <v>10300</v>
      </c>
      <c r="D9" s="1">
        <f>D6-D7+D8</f>
        <v>12300</v>
      </c>
      <c r="E9" s="1">
        <f>E6-E7+E8</f>
        <v>14210</v>
      </c>
      <c r="F9" s="1">
        <f>F6-F7+F8</f>
        <v>13680</v>
      </c>
      <c r="H9" s="1"/>
      <c r="I9" s="1"/>
    </row>
    <row r="10" spans="1:9">
      <c r="A10" s="327" t="s">
        <v>21</v>
      </c>
      <c r="B10" s="1" t="s">
        <v>81</v>
      </c>
      <c r="C10" s="42">
        <v>2</v>
      </c>
      <c r="D10" s="42">
        <v>2</v>
      </c>
      <c r="E10" s="42">
        <v>2</v>
      </c>
      <c r="F10" s="42">
        <v>2</v>
      </c>
      <c r="H10" s="1"/>
      <c r="I10" s="1"/>
    </row>
    <row r="11" spans="1:9">
      <c r="A11" s="327"/>
      <c r="B11" s="1" t="s">
        <v>80</v>
      </c>
      <c r="C11" s="42">
        <v>50</v>
      </c>
      <c r="D11" s="42">
        <v>50</v>
      </c>
      <c r="E11" s="42">
        <v>50</v>
      </c>
      <c r="F11" s="42">
        <v>50</v>
      </c>
      <c r="H11" s="1"/>
      <c r="I11" s="1"/>
    </row>
    <row r="12" spans="1:9">
      <c r="B12" s="26"/>
      <c r="H12" s="1"/>
      <c r="I12" s="1"/>
    </row>
    <row r="13" spans="1:9">
      <c r="A13" s="327" t="s">
        <v>48</v>
      </c>
      <c r="B13" s="1" t="s">
        <v>8</v>
      </c>
      <c r="C13" s="4">
        <f>$C$14*$C$15*C5</f>
        <v>20400</v>
      </c>
      <c r="D13" s="4">
        <f>$C$14*$C$15*D5</f>
        <v>24400</v>
      </c>
      <c r="E13" s="4">
        <f>$C$14*$C$15*E5</f>
        <v>28400</v>
      </c>
      <c r="F13" s="4">
        <f>$C$14*$C$15*F5</f>
        <v>28800</v>
      </c>
      <c r="H13" s="1"/>
      <c r="I13" s="1"/>
    </row>
    <row r="14" spans="1:9">
      <c r="A14" s="327"/>
      <c r="B14" s="290" t="s">
        <v>12</v>
      </c>
      <c r="C14" s="329">
        <v>2</v>
      </c>
      <c r="D14" s="329"/>
      <c r="E14" s="329"/>
      <c r="F14" s="329"/>
      <c r="H14" s="1"/>
      <c r="I14" s="1"/>
    </row>
    <row r="15" spans="1:9">
      <c r="A15" s="327"/>
      <c r="B15" s="290" t="s">
        <v>16</v>
      </c>
      <c r="C15" s="329">
        <v>10</v>
      </c>
      <c r="D15" s="329"/>
      <c r="E15" s="329"/>
      <c r="F15" s="329"/>
      <c r="H15" s="1"/>
      <c r="I15" s="1"/>
    </row>
    <row r="16" spans="1:9">
      <c r="A16" s="327"/>
      <c r="B16" s="22" t="s">
        <v>82</v>
      </c>
      <c r="C16" s="19"/>
      <c r="D16" s="19"/>
      <c r="E16" s="19"/>
      <c r="F16" s="19"/>
      <c r="H16" s="1"/>
      <c r="I16" s="1"/>
    </row>
    <row r="17" spans="1:9">
      <c r="H17" s="1"/>
      <c r="I17" s="1"/>
    </row>
    <row r="18" spans="1:9">
      <c r="A18" s="327" t="s">
        <v>87</v>
      </c>
      <c r="B18" s="23" t="s">
        <v>7</v>
      </c>
      <c r="C18" s="23">
        <f>C9*C10</f>
        <v>20600</v>
      </c>
      <c r="D18" s="23">
        <f>D9*D10</f>
        <v>24600</v>
      </c>
      <c r="E18" s="23">
        <f>E9*E10</f>
        <v>28420</v>
      </c>
      <c r="F18" s="23">
        <f>F9*F10</f>
        <v>27360</v>
      </c>
      <c r="H18" s="293"/>
      <c r="I18" s="1"/>
    </row>
    <row r="19" spans="1:9">
      <c r="A19" s="327"/>
      <c r="B19" s="23" t="s">
        <v>8</v>
      </c>
      <c r="C19" s="24">
        <f>C13</f>
        <v>20400</v>
      </c>
      <c r="D19" s="24">
        <f>D13</f>
        <v>24400</v>
      </c>
      <c r="E19" s="24">
        <f t="shared" ref="E19:F19" si="0">E13</f>
        <v>28400</v>
      </c>
      <c r="F19" s="24">
        <f t="shared" si="0"/>
        <v>28800</v>
      </c>
      <c r="H19" s="1"/>
      <c r="I19" s="1"/>
    </row>
    <row r="20" spans="1:9">
      <c r="A20" s="327"/>
      <c r="B20" s="23" t="s">
        <v>88</v>
      </c>
      <c r="C20" s="24">
        <f>C16</f>
        <v>0</v>
      </c>
      <c r="D20" s="24">
        <f>D16</f>
        <v>0</v>
      </c>
      <c r="E20" s="24">
        <f t="shared" ref="E20:F20" si="1">E16</f>
        <v>0</v>
      </c>
      <c r="F20" s="24">
        <f t="shared" si="1"/>
        <v>0</v>
      </c>
      <c r="H20" s="1"/>
      <c r="I20" s="1"/>
    </row>
    <row r="21" spans="1:9">
      <c r="A21" s="327"/>
      <c r="B21" s="23" t="s">
        <v>11</v>
      </c>
      <c r="C21" s="23">
        <f>SUM(C18:C20)</f>
        <v>41000</v>
      </c>
      <c r="D21" s="23">
        <f>SUM(D18:D20)</f>
        <v>49000</v>
      </c>
      <c r="E21" s="23">
        <f t="shared" ref="E21:F21" si="2">SUM(E18:E20)</f>
        <v>56820</v>
      </c>
      <c r="F21" s="23">
        <f t="shared" si="2"/>
        <v>56160</v>
      </c>
      <c r="H21" s="1"/>
      <c r="I21" s="1"/>
    </row>
    <row r="22" spans="1:9">
      <c r="A22" s="327"/>
      <c r="B22" s="23" t="s">
        <v>89</v>
      </c>
      <c r="C22" s="27">
        <f>C21/C5</f>
        <v>40.196078431372548</v>
      </c>
      <c r="D22" s="27">
        <f>D21/D5</f>
        <v>40.16393442622951</v>
      </c>
      <c r="E22" s="27">
        <f t="shared" ref="E22:F22" si="3">E21/E5</f>
        <v>40.014084507042256</v>
      </c>
      <c r="F22" s="27">
        <f t="shared" si="3"/>
        <v>39</v>
      </c>
      <c r="H22" s="1"/>
      <c r="I22" s="1"/>
    </row>
    <row r="23" spans="1:9">
      <c r="A23" s="25"/>
      <c r="B23" s="26"/>
      <c r="C23" s="26"/>
      <c r="D23" s="26"/>
      <c r="E23" s="26"/>
      <c r="F23" s="26"/>
      <c r="H23" s="1"/>
      <c r="I23" s="1"/>
    </row>
    <row r="24" spans="1:9">
      <c r="A24" s="327" t="s">
        <v>86</v>
      </c>
      <c r="B24" s="23" t="s">
        <v>87</v>
      </c>
      <c r="C24" s="23">
        <f>C21</f>
        <v>41000</v>
      </c>
      <c r="D24" s="23">
        <f>D21</f>
        <v>49000</v>
      </c>
      <c r="E24" s="23">
        <f t="shared" ref="E24:F24" si="4">E21</f>
        <v>56820</v>
      </c>
      <c r="F24" s="23">
        <f t="shared" si="4"/>
        <v>56160</v>
      </c>
      <c r="H24" s="1"/>
      <c r="I24" s="1"/>
    </row>
    <row r="25" spans="1:9">
      <c r="A25" s="327"/>
      <c r="B25" s="23" t="s">
        <v>17</v>
      </c>
      <c r="C25" s="43">
        <v>0</v>
      </c>
      <c r="D25" s="41">
        <f>C22*D3</f>
        <v>4823.5294117647054</v>
      </c>
      <c r="E25" s="41">
        <f>D22*E3</f>
        <v>5622.9508196721317</v>
      </c>
      <c r="F25" s="41">
        <f t="shared" ref="F25" si="5">E22*F3</f>
        <v>6402.2535211267605</v>
      </c>
      <c r="H25" s="1"/>
      <c r="I25" s="1"/>
    </row>
    <row r="26" spans="1:9">
      <c r="A26" s="327"/>
      <c r="B26" s="23" t="s">
        <v>18</v>
      </c>
      <c r="C26" s="41">
        <f>C8*C22</f>
        <v>24519.607843137255</v>
      </c>
      <c r="D26" s="41">
        <f>D22*D4</f>
        <v>5622.9508196721317</v>
      </c>
      <c r="E26" s="41">
        <f>E22*E4</f>
        <v>6402.2535211267605</v>
      </c>
      <c r="F26" s="43">
        <f>F22*F4</f>
        <v>0</v>
      </c>
      <c r="H26" s="1"/>
      <c r="I26" s="1"/>
    </row>
    <row r="27" spans="1:9">
      <c r="A27" s="327"/>
      <c r="B27" s="23" t="s">
        <v>86</v>
      </c>
      <c r="C27" s="41">
        <f>C24+C25-C26</f>
        <v>16480.392156862745</v>
      </c>
      <c r="D27" s="41">
        <f>D24+D25-D26</f>
        <v>48200.578592092577</v>
      </c>
      <c r="E27" s="41">
        <f t="shared" ref="E27:F27" si="6">E24+E25-E26</f>
        <v>56040.697298545369</v>
      </c>
      <c r="F27" s="41">
        <f t="shared" si="6"/>
        <v>62562.25352112676</v>
      </c>
      <c r="H27" s="1"/>
      <c r="I27" s="1"/>
    </row>
    <row r="28" spans="1:9">
      <c r="A28" s="25"/>
      <c r="B28" s="26"/>
      <c r="C28" s="26"/>
      <c r="D28" s="26"/>
      <c r="E28" s="26"/>
      <c r="F28" s="26"/>
      <c r="H28" s="1"/>
      <c r="I28" s="1"/>
    </row>
    <row r="29" spans="1:9">
      <c r="A29" s="327" t="s">
        <v>0</v>
      </c>
      <c r="B29" s="292" t="s">
        <v>5</v>
      </c>
      <c r="C29" s="39">
        <f t="shared" ref="C29:F31" si="7">C$2*C$11*$H29</f>
        <v>50000</v>
      </c>
      <c r="D29" s="39">
        <f t="shared" si="7"/>
        <v>60000</v>
      </c>
      <c r="E29" s="39">
        <f t="shared" si="7"/>
        <v>70000</v>
      </c>
      <c r="F29" s="39">
        <f t="shared" si="7"/>
        <v>80000</v>
      </c>
      <c r="H29" s="44">
        <v>1</v>
      </c>
      <c r="I29" s="1"/>
    </row>
    <row r="30" spans="1:9">
      <c r="A30" s="327"/>
      <c r="B30" s="327" t="s">
        <v>22</v>
      </c>
      <c r="C30" s="39">
        <f t="shared" si="7"/>
        <v>0</v>
      </c>
      <c r="D30" s="39">
        <f t="shared" si="7"/>
        <v>0</v>
      </c>
      <c r="E30" s="39">
        <f t="shared" si="7"/>
        <v>0</v>
      </c>
      <c r="F30" s="39">
        <f t="shared" si="7"/>
        <v>0</v>
      </c>
      <c r="H30" s="44">
        <v>0</v>
      </c>
      <c r="I30" s="1" t="s">
        <v>84</v>
      </c>
    </row>
    <row r="31" spans="1:9">
      <c r="A31" s="327"/>
      <c r="B31" s="327"/>
      <c r="C31" s="39">
        <f t="shared" si="7"/>
        <v>0</v>
      </c>
      <c r="D31" s="39">
        <f t="shared" si="7"/>
        <v>0</v>
      </c>
      <c r="E31" s="39">
        <f t="shared" si="7"/>
        <v>0</v>
      </c>
      <c r="F31" s="39">
        <f t="shared" si="7"/>
        <v>0</v>
      </c>
      <c r="H31" s="44">
        <v>0</v>
      </c>
      <c r="I31" s="1" t="s">
        <v>85</v>
      </c>
    </row>
    <row r="32" spans="1:9">
      <c r="A32" s="327" t="s">
        <v>14</v>
      </c>
      <c r="B32" s="292" t="s">
        <v>5</v>
      </c>
      <c r="C32" s="39">
        <f t="shared" ref="C32:F34" si="8">C$9*C$10*$H32</f>
        <v>20600</v>
      </c>
      <c r="D32" s="39">
        <f t="shared" si="8"/>
        <v>24600</v>
      </c>
      <c r="E32" s="39">
        <f t="shared" si="8"/>
        <v>28420</v>
      </c>
      <c r="F32" s="39">
        <f t="shared" si="8"/>
        <v>27360</v>
      </c>
      <c r="H32" s="44">
        <v>1</v>
      </c>
      <c r="I32" s="1"/>
    </row>
    <row r="33" spans="1:9">
      <c r="A33" s="327"/>
      <c r="B33" s="327" t="s">
        <v>22</v>
      </c>
      <c r="C33" s="39">
        <f t="shared" si="8"/>
        <v>0</v>
      </c>
      <c r="D33" s="39">
        <f t="shared" si="8"/>
        <v>0</v>
      </c>
      <c r="E33" s="39">
        <f t="shared" si="8"/>
        <v>0</v>
      </c>
      <c r="F33" s="39">
        <f t="shared" si="8"/>
        <v>0</v>
      </c>
      <c r="H33" s="44">
        <v>0</v>
      </c>
      <c r="I33" s="1" t="s">
        <v>84</v>
      </c>
    </row>
    <row r="34" spans="1:9">
      <c r="A34" s="327"/>
      <c r="B34" s="327"/>
      <c r="C34" s="39">
        <f t="shared" si="8"/>
        <v>0</v>
      </c>
      <c r="D34" s="39">
        <f t="shared" si="8"/>
        <v>0</v>
      </c>
      <c r="E34" s="39">
        <f t="shared" si="8"/>
        <v>0</v>
      </c>
      <c r="F34" s="39">
        <f t="shared" si="8"/>
        <v>0</v>
      </c>
      <c r="H34" s="44">
        <v>0</v>
      </c>
      <c r="I34" s="1" t="s">
        <v>85</v>
      </c>
    </row>
    <row r="35" spans="1:9">
      <c r="H35" s="1"/>
      <c r="I35" s="1"/>
    </row>
    <row r="36" spans="1:9">
      <c r="A36" s="333" t="s">
        <v>4</v>
      </c>
      <c r="B36" s="23" t="s">
        <v>0</v>
      </c>
      <c r="C36" s="23">
        <f>C2*C11</f>
        <v>50000</v>
      </c>
      <c r="D36" s="23">
        <f>D2*D11</f>
        <v>60000</v>
      </c>
      <c r="E36" s="23">
        <f>E2*E11</f>
        <v>70000</v>
      </c>
      <c r="F36" s="23">
        <f>F2*F11</f>
        <v>80000</v>
      </c>
      <c r="H36" s="1"/>
      <c r="I36" s="1"/>
    </row>
    <row r="37" spans="1:9">
      <c r="A37" s="334"/>
      <c r="B37" s="23" t="s">
        <v>86</v>
      </c>
      <c r="C37" s="41">
        <f>C27</f>
        <v>16480.392156862745</v>
      </c>
      <c r="D37" s="41">
        <f>D27</f>
        <v>48200.578592092577</v>
      </c>
      <c r="E37" s="41">
        <f>E27</f>
        <v>56040.697298545369</v>
      </c>
      <c r="F37" s="41">
        <f>F27</f>
        <v>62562.25352112676</v>
      </c>
      <c r="H37" s="1"/>
      <c r="I37" s="1"/>
    </row>
    <row r="38" spans="1:9">
      <c r="A38" s="335"/>
      <c r="B38" s="23" t="s">
        <v>90</v>
      </c>
      <c r="C38" s="41">
        <f>C36-C37</f>
        <v>33519.607843137259</v>
      </c>
      <c r="D38" s="41">
        <f>D36-D37</f>
        <v>11799.421407907423</v>
      </c>
      <c r="E38" s="41">
        <f t="shared" ref="E38:F38" si="9">E36-E37</f>
        <v>13959.302701454631</v>
      </c>
      <c r="F38" s="41">
        <f t="shared" si="9"/>
        <v>17437.74647887324</v>
      </c>
      <c r="H38" s="1"/>
      <c r="I38" s="1"/>
    </row>
    <row r="40" spans="1:9">
      <c r="A40" s="316" t="s">
        <v>92</v>
      </c>
      <c r="B40" s="317"/>
      <c r="C40" s="317"/>
      <c r="D40" s="317"/>
      <c r="E40" s="317"/>
      <c r="F40" s="317"/>
    </row>
    <row r="41" spans="1:9">
      <c r="A41" s="328" t="s">
        <v>91</v>
      </c>
      <c r="B41" s="328"/>
      <c r="C41" s="19">
        <v>10000</v>
      </c>
      <c r="D41" s="7">
        <f>C51</f>
        <v>19000</v>
      </c>
      <c r="E41" s="7">
        <f t="shared" ref="E41:F41" si="10">D51</f>
        <v>30000</v>
      </c>
      <c r="F41" s="7">
        <f t="shared" si="10"/>
        <v>43180</v>
      </c>
    </row>
    <row r="42" spans="1:9">
      <c r="A42" s="330" t="s">
        <v>29</v>
      </c>
      <c r="B42" s="290" t="s">
        <v>94</v>
      </c>
      <c r="C42" s="7">
        <f>C29</f>
        <v>50000</v>
      </c>
      <c r="D42" s="7">
        <f>D29</f>
        <v>60000</v>
      </c>
      <c r="E42" s="7">
        <f>E29</f>
        <v>70000</v>
      </c>
      <c r="F42" s="7">
        <f>F29</f>
        <v>80000</v>
      </c>
    </row>
    <row r="43" spans="1:9">
      <c r="A43" s="331"/>
      <c r="B43" s="290" t="s">
        <v>95</v>
      </c>
      <c r="C43" s="1"/>
      <c r="D43" s="7">
        <f>C30</f>
        <v>0</v>
      </c>
      <c r="E43" s="7">
        <f>D30+C31</f>
        <v>0</v>
      </c>
      <c r="F43" s="7">
        <f>E30+D31</f>
        <v>0</v>
      </c>
    </row>
    <row r="44" spans="1:9">
      <c r="A44" s="332"/>
      <c r="B44" s="28" t="s">
        <v>11</v>
      </c>
      <c r="C44" s="12">
        <f>SUM(C42:C43)</f>
        <v>50000</v>
      </c>
      <c r="D44" s="12">
        <f>SUM(D42:D43)</f>
        <v>60000</v>
      </c>
      <c r="E44" s="12">
        <f t="shared" ref="E44:F44" si="11">SUM(E42:E43)</f>
        <v>70000</v>
      </c>
      <c r="F44" s="12">
        <f t="shared" si="11"/>
        <v>80000</v>
      </c>
    </row>
    <row r="45" spans="1:9">
      <c r="A45" s="333" t="s">
        <v>30</v>
      </c>
      <c r="B45" s="290" t="s">
        <v>96</v>
      </c>
      <c r="C45" s="7">
        <f>C32</f>
        <v>20600</v>
      </c>
      <c r="D45" s="7">
        <f>D32</f>
        <v>24600</v>
      </c>
      <c r="E45" s="7">
        <f t="shared" ref="E45:F45" si="12">E32</f>
        <v>28420</v>
      </c>
      <c r="F45" s="7">
        <f t="shared" si="12"/>
        <v>27360</v>
      </c>
    </row>
    <row r="46" spans="1:9">
      <c r="A46" s="334"/>
      <c r="B46" s="290" t="s">
        <v>97</v>
      </c>
      <c r="C46" s="1"/>
      <c r="D46" s="7">
        <f>C33</f>
        <v>0</v>
      </c>
      <c r="E46" s="7">
        <f>D33+C34</f>
        <v>0</v>
      </c>
      <c r="F46" s="7">
        <f>E33+D34</f>
        <v>0</v>
      </c>
    </row>
    <row r="47" spans="1:9">
      <c r="A47" s="334"/>
      <c r="B47" s="290" t="s">
        <v>8</v>
      </c>
      <c r="C47" s="7">
        <f>C13</f>
        <v>20400</v>
      </c>
      <c r="D47" s="7">
        <f>D13</f>
        <v>24400</v>
      </c>
      <c r="E47" s="7">
        <f t="shared" ref="E47:F47" si="13">E13</f>
        <v>28400</v>
      </c>
      <c r="F47" s="7">
        <f t="shared" si="13"/>
        <v>28800</v>
      </c>
    </row>
    <row r="48" spans="1:9">
      <c r="A48" s="334"/>
      <c r="B48" s="290" t="s">
        <v>98</v>
      </c>
      <c r="C48" s="7">
        <f>C16</f>
        <v>0</v>
      </c>
      <c r="D48" s="7">
        <f>D16</f>
        <v>0</v>
      </c>
      <c r="E48" s="7">
        <f t="shared" ref="E48:F48" si="14">E16</f>
        <v>0</v>
      </c>
      <c r="F48" s="7">
        <f t="shared" si="14"/>
        <v>0</v>
      </c>
    </row>
    <row r="49" spans="1:6">
      <c r="A49" s="335"/>
      <c r="B49" s="28" t="s">
        <v>11</v>
      </c>
      <c r="C49" s="12">
        <f>SUM(C45:C48)</f>
        <v>41000</v>
      </c>
      <c r="D49" s="12">
        <f>SUM(D45:D48)</f>
        <v>49000</v>
      </c>
      <c r="E49" s="12">
        <f>SUM(E45:E48)</f>
        <v>56820</v>
      </c>
      <c r="F49" s="12">
        <f>SUM(F45:F48)</f>
        <v>56160</v>
      </c>
    </row>
    <row r="50" spans="1:6">
      <c r="A50" s="336" t="s">
        <v>31</v>
      </c>
      <c r="B50" s="337"/>
      <c r="C50" s="14">
        <f>C44-C49</f>
        <v>9000</v>
      </c>
      <c r="D50" s="14">
        <f>D44-D49</f>
        <v>11000</v>
      </c>
      <c r="E50" s="14">
        <f>E44-E49</f>
        <v>13180</v>
      </c>
      <c r="F50" s="14">
        <f>F44-F49</f>
        <v>23840</v>
      </c>
    </row>
    <row r="51" spans="1:6">
      <c r="A51" s="328" t="s">
        <v>93</v>
      </c>
      <c r="B51" s="328"/>
      <c r="C51" s="7">
        <f>C41+C44-C49</f>
        <v>19000</v>
      </c>
      <c r="D51" s="7">
        <f>D41+D44-D49</f>
        <v>30000</v>
      </c>
      <c r="E51" s="7">
        <f>E41+E44-E49</f>
        <v>43180</v>
      </c>
      <c r="F51" s="7">
        <f>F41+F44-F49</f>
        <v>67020</v>
      </c>
    </row>
  </sheetData>
  <mergeCells count="20">
    <mergeCell ref="H1:I1"/>
    <mergeCell ref="A2:A5"/>
    <mergeCell ref="A6:A9"/>
    <mergeCell ref="A10:A11"/>
    <mergeCell ref="A13:A16"/>
    <mergeCell ref="C14:F14"/>
    <mergeCell ref="C15:F15"/>
    <mergeCell ref="A18:A22"/>
    <mergeCell ref="A24:A27"/>
    <mergeCell ref="A29:A31"/>
    <mergeCell ref="B30:B31"/>
    <mergeCell ref="A32:A34"/>
    <mergeCell ref="B33:B34"/>
    <mergeCell ref="A51:B51"/>
    <mergeCell ref="A36:A38"/>
    <mergeCell ref="A40:F40"/>
    <mergeCell ref="A41:B41"/>
    <mergeCell ref="A42:A44"/>
    <mergeCell ref="A45:A49"/>
    <mergeCell ref="A50:B5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67D5C-4212-45EB-A82D-96ADD95E3D98}">
  <dimension ref="A1:K113"/>
  <sheetViews>
    <sheetView zoomScale="40" zoomScaleNormal="40" workbookViewId="0">
      <selection activeCell="R69" sqref="R69"/>
    </sheetView>
  </sheetViews>
  <sheetFormatPr baseColWidth="10" defaultRowHeight="13.8"/>
  <cols>
    <col min="1" max="1" width="24.296875" customWidth="1"/>
    <col min="2" max="2" width="24.69921875" customWidth="1"/>
    <col min="3" max="3" width="24" bestFit="1" customWidth="1"/>
    <col min="4" max="4" width="22.19921875" customWidth="1"/>
    <col min="5" max="5" width="22.5" customWidth="1"/>
    <col min="6" max="6" width="19.796875" customWidth="1"/>
    <col min="7" max="7" width="13.296875" customWidth="1"/>
    <col min="8" max="8" width="5.19921875" customWidth="1"/>
    <col min="9" max="9" width="51.5" customWidth="1"/>
    <col min="10" max="10" width="16" bestFit="1" customWidth="1"/>
    <col min="11" max="11" width="14.296875" bestFit="1" customWidth="1"/>
  </cols>
  <sheetData>
    <row r="1" spans="1:10" ht="32.4">
      <c r="A1" s="311" t="s">
        <v>197</v>
      </c>
      <c r="B1" s="392"/>
      <c r="C1" s="392"/>
      <c r="D1" s="392"/>
      <c r="E1" s="392"/>
      <c r="F1" s="392"/>
      <c r="G1" s="392"/>
      <c r="H1" s="392"/>
      <c r="I1" s="392"/>
      <c r="J1" s="392"/>
    </row>
    <row r="2" spans="1:10">
      <c r="A2" s="51"/>
      <c r="B2" s="51"/>
    </row>
    <row r="3" spans="1:10">
      <c r="A3" s="96"/>
      <c r="B3" s="97"/>
      <c r="C3" s="101" t="s">
        <v>162</v>
      </c>
      <c r="D3" s="179" t="s">
        <v>214</v>
      </c>
      <c r="E3" s="181" t="s">
        <v>220</v>
      </c>
      <c r="F3" s="180" t="s">
        <v>211</v>
      </c>
      <c r="G3" s="182" t="s">
        <v>197</v>
      </c>
      <c r="H3" s="8"/>
      <c r="I3" s="292"/>
    </row>
    <row r="4" spans="1:10">
      <c r="A4" s="335" t="s">
        <v>0</v>
      </c>
      <c r="B4" s="294" t="s">
        <v>15</v>
      </c>
      <c r="C4" s="105">
        <v>180</v>
      </c>
      <c r="D4" s="105">
        <f>F4</f>
        <v>200</v>
      </c>
      <c r="E4" s="105">
        <f>D4</f>
        <v>200</v>
      </c>
      <c r="F4" s="105">
        <v>200</v>
      </c>
      <c r="G4" s="183">
        <f t="shared" ref="G4:G19" si="0">D4-F4</f>
        <v>0</v>
      </c>
      <c r="H4" s="1" t="str">
        <f t="shared" ref="H4:H22" si="1">IF(G4&gt;0,"F",IF(G4&lt;0,"U",""))</f>
        <v/>
      </c>
      <c r="I4" s="292" t="str">
        <f>TEXT(B4,"")&amp;" Var"</f>
        <v>Volume Var</v>
      </c>
    </row>
    <row r="5" spans="1:10">
      <c r="A5" s="327"/>
      <c r="B5" s="292" t="s">
        <v>16</v>
      </c>
      <c r="C5" s="47">
        <v>64</v>
      </c>
      <c r="D5" s="47">
        <v>64</v>
      </c>
      <c r="E5" s="47">
        <v>64</v>
      </c>
      <c r="F5" s="47">
        <v>64</v>
      </c>
      <c r="G5" s="183">
        <f t="shared" si="0"/>
        <v>0</v>
      </c>
      <c r="H5" s="1" t="str">
        <f t="shared" si="1"/>
        <v/>
      </c>
      <c r="I5" s="292" t="str">
        <f>TEXT(B5,"")&amp;" Var"</f>
        <v>Unit Price Var</v>
      </c>
    </row>
    <row r="6" spans="1:10">
      <c r="A6" s="327"/>
      <c r="B6" s="95" t="s">
        <v>221</v>
      </c>
      <c r="C6" s="103">
        <f>C5*C4</f>
        <v>11520</v>
      </c>
      <c r="D6" s="103">
        <f>D5*D4</f>
        <v>12800</v>
      </c>
      <c r="E6" s="103">
        <f>E5*E4</f>
        <v>12800</v>
      </c>
      <c r="F6" s="103">
        <f>F5*F4</f>
        <v>12800</v>
      </c>
      <c r="G6" s="184">
        <f>F6-C6</f>
        <v>1280</v>
      </c>
      <c r="H6" s="102" t="str">
        <f t="shared" si="1"/>
        <v>F</v>
      </c>
      <c r="I6" s="292" t="str">
        <f t="shared" ref="I6:I21" si="2">TEXT(B6,"")&amp;" Var"</f>
        <v>Sales turnover Var</v>
      </c>
    </row>
    <row r="7" spans="1:10">
      <c r="A7" s="327" t="s">
        <v>7</v>
      </c>
      <c r="B7" s="292" t="s">
        <v>38</v>
      </c>
      <c r="C7" s="47">
        <v>5</v>
      </c>
      <c r="D7" s="47">
        <v>5</v>
      </c>
      <c r="E7" s="47">
        <f>F7</f>
        <v>4.5</v>
      </c>
      <c r="F7" s="47">
        <f>900/F4</f>
        <v>4.5</v>
      </c>
      <c r="G7" s="183">
        <f t="shared" si="0"/>
        <v>0.5</v>
      </c>
      <c r="H7" s="1" t="str">
        <f t="shared" si="1"/>
        <v>F</v>
      </c>
      <c r="I7" s="292" t="str">
        <f t="shared" si="2"/>
        <v>RM Usage Var</v>
      </c>
    </row>
    <row r="8" spans="1:10">
      <c r="A8" s="327"/>
      <c r="B8" s="292" t="s">
        <v>34</v>
      </c>
      <c r="C8" s="105">
        <f>C7*C4</f>
        <v>900</v>
      </c>
      <c r="D8" s="105">
        <f>D7*D4</f>
        <v>1000</v>
      </c>
      <c r="E8" s="105">
        <f>E7*E4</f>
        <v>900</v>
      </c>
      <c r="F8" s="105">
        <f>F7*F4</f>
        <v>900</v>
      </c>
      <c r="G8" s="183">
        <f>F8-C8</f>
        <v>0</v>
      </c>
      <c r="H8" s="1" t="str">
        <f t="shared" si="1"/>
        <v/>
      </c>
      <c r="I8" s="292" t="str">
        <f t="shared" si="2"/>
        <v>RM Used Var</v>
      </c>
    </row>
    <row r="9" spans="1:10">
      <c r="A9" s="327"/>
      <c r="B9" s="292" t="s">
        <v>37</v>
      </c>
      <c r="C9" s="47">
        <v>5</v>
      </c>
      <c r="D9" s="47">
        <v>5</v>
      </c>
      <c r="E9" s="47">
        <v>5</v>
      </c>
      <c r="F9" s="47">
        <f>5400/F8</f>
        <v>6</v>
      </c>
      <c r="G9" s="183">
        <f t="shared" si="0"/>
        <v>-1</v>
      </c>
      <c r="H9" s="1" t="str">
        <f t="shared" si="1"/>
        <v>U</v>
      </c>
      <c r="I9" s="292" t="str">
        <f t="shared" si="2"/>
        <v>RM Unit Price Var</v>
      </c>
    </row>
    <row r="10" spans="1:10">
      <c r="A10" s="327"/>
      <c r="B10" s="292" t="s">
        <v>35</v>
      </c>
      <c r="C10" s="105">
        <f>C8*C9</f>
        <v>4500</v>
      </c>
      <c r="D10" s="105">
        <f>D8*D9</f>
        <v>5000</v>
      </c>
      <c r="E10" s="105">
        <f>E8*E9</f>
        <v>4500</v>
      </c>
      <c r="F10" s="105">
        <f>F8*F9</f>
        <v>5400</v>
      </c>
      <c r="G10" s="183">
        <f>C10-F10</f>
        <v>-900</v>
      </c>
      <c r="H10" s="1" t="str">
        <f t="shared" si="1"/>
        <v>U</v>
      </c>
      <c r="I10" s="29" t="str">
        <f>TEXT(B10,"")&amp;" Var or Variable Cost Var"</f>
        <v>RM Cost Var or Variable Cost Var</v>
      </c>
    </row>
    <row r="11" spans="1:10">
      <c r="A11" s="327" t="s">
        <v>39</v>
      </c>
      <c r="B11" s="292" t="s">
        <v>32</v>
      </c>
      <c r="C11" s="104">
        <f>C6-C10</f>
        <v>7020</v>
      </c>
      <c r="D11" s="104">
        <f>D6-D10</f>
        <v>7800</v>
      </c>
      <c r="E11" s="104">
        <f>E6-E10</f>
        <v>8300</v>
      </c>
      <c r="F11" s="104">
        <f>F6-F10</f>
        <v>7400</v>
      </c>
      <c r="G11" s="183">
        <f>F11-C11</f>
        <v>380</v>
      </c>
      <c r="H11" s="1" t="str">
        <f t="shared" si="1"/>
        <v>F</v>
      </c>
      <c r="I11" s="292" t="str">
        <f t="shared" si="2"/>
        <v>Contribution Margin Var</v>
      </c>
    </row>
    <row r="12" spans="1:10">
      <c r="A12" s="327"/>
      <c r="B12" s="292" t="s">
        <v>33</v>
      </c>
      <c r="C12" s="105">
        <v>2700</v>
      </c>
      <c r="D12" s="105">
        <v>2700</v>
      </c>
      <c r="E12" s="105">
        <v>2700</v>
      </c>
      <c r="F12" s="105">
        <v>3000</v>
      </c>
      <c r="G12" s="183">
        <f>C12-F12</f>
        <v>-300</v>
      </c>
      <c r="H12" s="1" t="str">
        <f t="shared" si="1"/>
        <v>U</v>
      </c>
      <c r="I12" s="29" t="str">
        <f t="shared" si="2"/>
        <v>Fixed Costs Var</v>
      </c>
    </row>
    <row r="13" spans="1:10">
      <c r="A13" s="327"/>
      <c r="B13" s="292" t="s">
        <v>99</v>
      </c>
      <c r="C13" s="105"/>
      <c r="D13" s="105"/>
      <c r="E13" s="105"/>
      <c r="F13" s="105"/>
      <c r="G13" s="183">
        <f>D13-F13</f>
        <v>0</v>
      </c>
      <c r="H13" s="1" t="str">
        <f t="shared" si="1"/>
        <v/>
      </c>
      <c r="I13" s="31" t="str">
        <f t="shared" si="2"/>
        <v>Other fixed costs Var</v>
      </c>
    </row>
    <row r="14" spans="1:10">
      <c r="A14" s="327"/>
      <c r="B14" s="292" t="s">
        <v>40</v>
      </c>
      <c r="C14" s="176">
        <f>C4</f>
        <v>180</v>
      </c>
      <c r="D14" s="176">
        <f>D4</f>
        <v>200</v>
      </c>
      <c r="E14" s="176">
        <f>E4</f>
        <v>200</v>
      </c>
      <c r="F14" s="176">
        <f>F4</f>
        <v>200</v>
      </c>
      <c r="G14" s="183">
        <f t="shared" si="0"/>
        <v>0</v>
      </c>
      <c r="H14" s="1" t="str">
        <f t="shared" si="1"/>
        <v/>
      </c>
      <c r="I14" s="292" t="str">
        <f t="shared" si="2"/>
        <v>Labour Quantity Var</v>
      </c>
    </row>
    <row r="15" spans="1:10">
      <c r="A15" s="327"/>
      <c r="B15" s="292" t="s">
        <v>42</v>
      </c>
      <c r="C15" s="47">
        <v>24</v>
      </c>
      <c r="D15" s="47">
        <v>24</v>
      </c>
      <c r="E15" s="47">
        <v>24</v>
      </c>
      <c r="F15" s="47">
        <f>1638/70</f>
        <v>23.4</v>
      </c>
      <c r="G15" s="183">
        <f t="shared" si="0"/>
        <v>0.60000000000000142</v>
      </c>
      <c r="H15" s="1" t="str">
        <f t="shared" si="1"/>
        <v>F</v>
      </c>
      <c r="I15" s="292" t="str">
        <f t="shared" si="2"/>
        <v>Labour Unit Price Var</v>
      </c>
    </row>
    <row r="16" spans="1:10">
      <c r="A16" s="327"/>
      <c r="B16" s="292" t="s">
        <v>155</v>
      </c>
      <c r="C16" s="309">
        <v>0.33333333333333331</v>
      </c>
      <c r="D16" s="309">
        <v>0.33333333333333331</v>
      </c>
      <c r="E16" s="309">
        <f>F16</f>
        <v>0.35</v>
      </c>
      <c r="F16" s="309">
        <f>70/F4</f>
        <v>0.35</v>
      </c>
      <c r="G16" s="183"/>
      <c r="H16" s="1"/>
      <c r="I16" s="292" t="str">
        <f t="shared" si="2"/>
        <v>Labour per unit Var</v>
      </c>
    </row>
    <row r="17" spans="1:10">
      <c r="A17" s="327"/>
      <c r="B17" s="292" t="s">
        <v>41</v>
      </c>
      <c r="C17" s="105">
        <f>C16*C15*C14</f>
        <v>1440</v>
      </c>
      <c r="D17" s="105">
        <f>D16*D15*D14</f>
        <v>1600</v>
      </c>
      <c r="E17" s="105">
        <f>E16*E15*E14</f>
        <v>1679.9999999999998</v>
      </c>
      <c r="F17" s="105">
        <f>F16*F15*F14</f>
        <v>1638</v>
      </c>
      <c r="G17" s="183">
        <f>D17-F17</f>
        <v>-38</v>
      </c>
      <c r="H17" s="1" t="str">
        <f t="shared" si="1"/>
        <v>U</v>
      </c>
      <c r="I17" s="292" t="str">
        <f t="shared" si="2"/>
        <v>Labour Cost Var</v>
      </c>
    </row>
    <row r="18" spans="1:10">
      <c r="A18" s="327"/>
      <c r="B18" s="292" t="s">
        <v>44</v>
      </c>
      <c r="C18" s="176"/>
      <c r="D18" s="176"/>
      <c r="E18" s="176"/>
      <c r="F18" s="176"/>
      <c r="G18" s="183">
        <f>D18-F18</f>
        <v>0</v>
      </c>
      <c r="H18" s="1" t="str">
        <f t="shared" si="1"/>
        <v/>
      </c>
      <c r="I18" s="292" t="str">
        <f t="shared" si="2"/>
        <v>Overhead Quantity Var</v>
      </c>
    </row>
    <row r="19" spans="1:10">
      <c r="A19" s="327"/>
      <c r="B19" s="292" t="s">
        <v>45</v>
      </c>
      <c r="C19" s="177"/>
      <c r="D19" s="177"/>
      <c r="E19" s="177"/>
      <c r="F19" s="177"/>
      <c r="G19" s="183">
        <f t="shared" si="0"/>
        <v>0</v>
      </c>
      <c r="H19" s="1" t="str">
        <f t="shared" si="1"/>
        <v/>
      </c>
      <c r="I19" s="292" t="str">
        <f t="shared" si="2"/>
        <v>Overhead Unit Price Var</v>
      </c>
    </row>
    <row r="20" spans="1:10">
      <c r="A20" s="327"/>
      <c r="B20" s="292" t="s">
        <v>46</v>
      </c>
      <c r="C20" s="178"/>
      <c r="D20" s="178"/>
      <c r="E20" s="178"/>
      <c r="F20" s="178"/>
      <c r="G20" s="183">
        <f>C20-F20</f>
        <v>0</v>
      </c>
      <c r="H20" s="1" t="str">
        <f t="shared" si="1"/>
        <v/>
      </c>
      <c r="I20" s="292" t="str">
        <f t="shared" si="2"/>
        <v>Overhead Cost Var</v>
      </c>
    </row>
    <row r="21" spans="1:10">
      <c r="A21" s="292"/>
      <c r="B21" s="98" t="s">
        <v>47</v>
      </c>
      <c r="C21" s="99">
        <f>C6-C10-C12-C13-C17-C20</f>
        <v>2880</v>
      </c>
      <c r="D21" s="99">
        <f t="shared" ref="D21:F21" si="3">D6-D10-D12-D13-D17-D20</f>
        <v>3500</v>
      </c>
      <c r="E21" s="99">
        <f t="shared" si="3"/>
        <v>3920</v>
      </c>
      <c r="F21" s="99">
        <f t="shared" si="3"/>
        <v>2762</v>
      </c>
      <c r="G21" s="100">
        <f>F21-C21</f>
        <v>-118</v>
      </c>
      <c r="H21" s="1" t="str">
        <f t="shared" si="1"/>
        <v>U</v>
      </c>
      <c r="I21" s="292" t="str">
        <f t="shared" si="2"/>
        <v>Net Profit Var</v>
      </c>
      <c r="J21" s="229" t="s">
        <v>252</v>
      </c>
    </row>
    <row r="22" spans="1:10" ht="14.4" thickBot="1">
      <c r="C22" s="88"/>
      <c r="G22" s="2">
        <f>G6+G10+G12+G20</f>
        <v>80</v>
      </c>
      <c r="H22" s="233" t="str">
        <f t="shared" si="1"/>
        <v>F</v>
      </c>
    </row>
    <row r="23" spans="1:10" ht="14.4">
      <c r="A23" s="409" t="s">
        <v>204</v>
      </c>
      <c r="B23" s="410"/>
      <c r="C23" s="410"/>
      <c r="D23" s="410"/>
      <c r="E23" s="411"/>
      <c r="F23" s="93"/>
      <c r="G23" s="51"/>
    </row>
    <row r="24" spans="1:10" ht="14.4">
      <c r="A24" s="144"/>
      <c r="B24" s="145" t="s">
        <v>205</v>
      </c>
      <c r="C24" s="145" t="s">
        <v>206</v>
      </c>
      <c r="D24" s="145" t="s">
        <v>207</v>
      </c>
      <c r="E24" s="160" t="s">
        <v>208</v>
      </c>
      <c r="F24" s="93"/>
      <c r="G24" s="51"/>
    </row>
    <row r="25" spans="1:10" ht="14.4">
      <c r="A25" s="146" t="s">
        <v>209</v>
      </c>
      <c r="B25" s="147">
        <f>C4</f>
        <v>180</v>
      </c>
      <c r="C25" s="148"/>
      <c r="D25" s="207">
        <f>C5</f>
        <v>64</v>
      </c>
      <c r="E25" s="161">
        <f>B25*D25</f>
        <v>11520</v>
      </c>
      <c r="F25" s="93"/>
      <c r="G25" s="51"/>
    </row>
    <row r="26" spans="1:10" ht="14.4">
      <c r="A26" s="146" t="s">
        <v>7</v>
      </c>
      <c r="B26" s="149">
        <f>B25</f>
        <v>180</v>
      </c>
      <c r="C26" s="231">
        <f>C7</f>
        <v>5</v>
      </c>
      <c r="D26" s="215">
        <f>C9</f>
        <v>5</v>
      </c>
      <c r="E26" s="163">
        <f>B26*C26*D26</f>
        <v>4500</v>
      </c>
      <c r="F26" s="93"/>
      <c r="G26" s="51"/>
    </row>
    <row r="27" spans="1:10" ht="14.4">
      <c r="A27" s="146" t="s">
        <v>111</v>
      </c>
      <c r="B27" s="149">
        <f>B26</f>
        <v>180</v>
      </c>
      <c r="C27" s="157">
        <f>C16</f>
        <v>0.33333333333333331</v>
      </c>
      <c r="D27" s="162">
        <f>C15</f>
        <v>24</v>
      </c>
      <c r="E27" s="163">
        <f>B27*C27*D27</f>
        <v>1440</v>
      </c>
      <c r="F27" s="93"/>
      <c r="G27" s="51"/>
    </row>
    <row r="28" spans="1:10" ht="14.4">
      <c r="A28" s="146" t="s">
        <v>235</v>
      </c>
      <c r="B28" s="149">
        <f>C18</f>
        <v>0</v>
      </c>
      <c r="C28" s="157">
        <f>C18/C4</f>
        <v>0</v>
      </c>
      <c r="D28" s="162">
        <f>C19</f>
        <v>0</v>
      </c>
      <c r="E28" s="163">
        <f>B28*C28*D28</f>
        <v>0</v>
      </c>
      <c r="F28" s="93"/>
      <c r="G28" s="51"/>
    </row>
    <row r="29" spans="1:10" ht="14.4">
      <c r="A29" s="146" t="s">
        <v>82</v>
      </c>
      <c r="B29" s="230">
        <f>C12</f>
        <v>2700</v>
      </c>
      <c r="C29" s="157"/>
      <c r="D29" s="158"/>
      <c r="E29" s="163">
        <f>B29</f>
        <v>2700</v>
      </c>
      <c r="F29" s="93"/>
      <c r="G29" s="51"/>
    </row>
    <row r="30" spans="1:10" ht="14.4">
      <c r="A30" s="189" t="s">
        <v>236</v>
      </c>
      <c r="B30" s="150"/>
      <c r="C30" s="157"/>
      <c r="D30" s="158"/>
      <c r="E30" s="163"/>
      <c r="F30" s="93"/>
      <c r="G30" s="51"/>
    </row>
    <row r="31" spans="1:10" ht="14.4">
      <c r="A31" s="152" t="s">
        <v>125</v>
      </c>
      <c r="B31" s="153"/>
      <c r="C31" s="154"/>
      <c r="D31" s="155"/>
      <c r="E31" s="164">
        <f>E25-E26-E27-E28-E29-E30</f>
        <v>2880</v>
      </c>
      <c r="F31" s="93"/>
      <c r="G31" s="51"/>
    </row>
    <row r="32" spans="1:10" ht="14.4">
      <c r="A32" s="144"/>
      <c r="B32" s="157"/>
      <c r="C32" s="157"/>
      <c r="D32" s="157"/>
      <c r="E32" s="165"/>
      <c r="F32" s="93"/>
      <c r="G32" s="51"/>
    </row>
    <row r="33" spans="1:11" ht="14.4">
      <c r="A33" s="412" t="s">
        <v>214</v>
      </c>
      <c r="B33" s="413"/>
      <c r="C33" s="413"/>
      <c r="D33" s="413"/>
      <c r="E33" s="414"/>
      <c r="F33" s="93"/>
      <c r="G33" s="51"/>
    </row>
    <row r="34" spans="1:11" ht="14.4">
      <c r="A34" s="144"/>
      <c r="B34" s="145" t="s">
        <v>212</v>
      </c>
      <c r="C34" s="145" t="s">
        <v>206</v>
      </c>
      <c r="D34" s="145" t="s">
        <v>213</v>
      </c>
      <c r="E34" s="160" t="s">
        <v>208</v>
      </c>
      <c r="F34" s="93"/>
      <c r="G34" s="51"/>
    </row>
    <row r="35" spans="1:11" ht="14.4">
      <c r="A35" s="146" t="s">
        <v>209</v>
      </c>
      <c r="B35" s="147">
        <f>D4</f>
        <v>200</v>
      </c>
      <c r="C35" s="148"/>
      <c r="D35" s="207">
        <f>D5</f>
        <v>64</v>
      </c>
      <c r="E35" s="161">
        <f>B35*D35</f>
        <v>12800</v>
      </c>
      <c r="F35" s="94"/>
      <c r="G35" s="51"/>
    </row>
    <row r="36" spans="1:11" ht="14.4">
      <c r="A36" s="146" t="s">
        <v>210</v>
      </c>
      <c r="B36" s="149">
        <f>B35</f>
        <v>200</v>
      </c>
      <c r="C36" s="231">
        <f>D7</f>
        <v>5</v>
      </c>
      <c r="D36" s="215">
        <f>D9</f>
        <v>5</v>
      </c>
      <c r="E36" s="163">
        <f>B36*C36*D36</f>
        <v>5000</v>
      </c>
      <c r="F36" s="94"/>
      <c r="G36" s="51"/>
    </row>
    <row r="37" spans="1:11" ht="14.4">
      <c r="A37" s="146" t="s">
        <v>111</v>
      </c>
      <c r="B37" s="149">
        <f>B36</f>
        <v>200</v>
      </c>
      <c r="C37" s="157">
        <f>D16</f>
        <v>0.33333333333333331</v>
      </c>
      <c r="D37" s="162">
        <f>D15</f>
        <v>24</v>
      </c>
      <c r="E37" s="163">
        <f>B37*C37*D37</f>
        <v>1599.9999999999998</v>
      </c>
      <c r="F37" s="93"/>
      <c r="G37" s="51"/>
    </row>
    <row r="38" spans="1:11" ht="14.4">
      <c r="A38" s="146" t="s">
        <v>235</v>
      </c>
      <c r="B38" s="149">
        <f>D4</f>
        <v>200</v>
      </c>
      <c r="C38" s="157">
        <f>D18/D4</f>
        <v>0</v>
      </c>
      <c r="D38" s="162">
        <f>D19</f>
        <v>0</v>
      </c>
      <c r="E38" s="163">
        <f>B38*C38*D38</f>
        <v>0</v>
      </c>
      <c r="F38" s="93"/>
      <c r="G38" s="51"/>
    </row>
    <row r="39" spans="1:11" ht="14.4">
      <c r="A39" s="146" t="s">
        <v>82</v>
      </c>
      <c r="B39" s="230">
        <f>D12</f>
        <v>2700</v>
      </c>
      <c r="C39" s="157"/>
      <c r="D39" s="158"/>
      <c r="E39" s="163">
        <f>B39</f>
        <v>2700</v>
      </c>
      <c r="F39" s="93"/>
      <c r="G39" s="51"/>
    </row>
    <row r="40" spans="1:11" ht="14.4">
      <c r="A40" s="189" t="s">
        <v>236</v>
      </c>
      <c r="B40" s="150"/>
      <c r="C40" s="157"/>
      <c r="D40" s="158"/>
      <c r="E40" s="163"/>
      <c r="F40" s="93"/>
      <c r="G40" s="51"/>
    </row>
    <row r="41" spans="1:11" ht="14.4">
      <c r="A41" s="152" t="s">
        <v>125</v>
      </c>
      <c r="B41" s="153"/>
      <c r="C41" s="154"/>
      <c r="D41" s="155"/>
      <c r="E41" s="164">
        <f>E35-E36-E37-E38-E39-E40</f>
        <v>3500</v>
      </c>
      <c r="F41" s="93"/>
      <c r="G41" s="51"/>
    </row>
    <row r="42" spans="1:11" ht="14.4">
      <c r="A42" s="144"/>
      <c r="B42" s="157"/>
      <c r="C42" s="157"/>
      <c r="D42" s="158"/>
      <c r="E42" s="166"/>
      <c r="F42" s="93"/>
      <c r="G42" s="51"/>
    </row>
    <row r="43" spans="1:11" ht="15" thickBot="1">
      <c r="A43" s="415" t="s">
        <v>219</v>
      </c>
      <c r="B43" s="416"/>
      <c r="C43" s="416"/>
      <c r="D43" s="416"/>
      <c r="E43" s="417"/>
      <c r="F43" s="93"/>
      <c r="G43" s="51"/>
    </row>
    <row r="44" spans="1:11" ht="14.4">
      <c r="A44" s="144"/>
      <c r="B44" s="145" t="s">
        <v>215</v>
      </c>
      <c r="C44" s="145" t="s">
        <v>12</v>
      </c>
      <c r="D44" s="145" t="s">
        <v>207</v>
      </c>
      <c r="E44" s="160" t="s">
        <v>208</v>
      </c>
      <c r="F44" s="93"/>
      <c r="G44" s="51"/>
      <c r="H44" s="72"/>
      <c r="I44" s="418" t="s">
        <v>188</v>
      </c>
      <c r="J44" s="418"/>
      <c r="K44" s="418"/>
    </row>
    <row r="45" spans="1:11" ht="14.4">
      <c r="A45" s="146" t="s">
        <v>209</v>
      </c>
      <c r="B45" s="147">
        <f>E4</f>
        <v>200</v>
      </c>
      <c r="C45" s="148"/>
      <c r="D45" s="207">
        <f>E5</f>
        <v>64</v>
      </c>
      <c r="E45" s="161">
        <f>B45*D45</f>
        <v>12800</v>
      </c>
      <c r="F45" s="93"/>
      <c r="G45" s="51"/>
      <c r="H45" s="74"/>
      <c r="I45" s="419"/>
      <c r="J45" s="419"/>
      <c r="K45" s="419"/>
    </row>
    <row r="46" spans="1:11" ht="14.4">
      <c r="A46" s="146" t="s">
        <v>210</v>
      </c>
      <c r="B46" s="149">
        <f>B45</f>
        <v>200</v>
      </c>
      <c r="C46" s="231">
        <f>E7</f>
        <v>4.5</v>
      </c>
      <c r="D46" s="215">
        <f>E9</f>
        <v>5</v>
      </c>
      <c r="E46" s="163">
        <f>B46*C46*D46</f>
        <v>4500</v>
      </c>
      <c r="F46" s="93"/>
      <c r="G46" s="51"/>
      <c r="H46" s="74"/>
      <c r="I46" s="51" t="s">
        <v>192</v>
      </c>
      <c r="J46" s="61">
        <v>0</v>
      </c>
      <c r="K46" s="51"/>
    </row>
    <row r="47" spans="1:11" ht="14.4">
      <c r="A47" s="146" t="s">
        <v>111</v>
      </c>
      <c r="B47" s="149">
        <f>B46</f>
        <v>200</v>
      </c>
      <c r="C47" s="157">
        <f>E16</f>
        <v>0.35</v>
      </c>
      <c r="D47" s="162">
        <f>E15</f>
        <v>24</v>
      </c>
      <c r="E47" s="163">
        <f>B47*C47*D47</f>
        <v>1680</v>
      </c>
      <c r="F47" s="93"/>
      <c r="G47" s="51"/>
      <c r="H47" s="74"/>
      <c r="I47" s="51"/>
      <c r="J47" s="51"/>
      <c r="K47" s="51"/>
    </row>
    <row r="48" spans="1:11" ht="14.4">
      <c r="A48" s="146" t="s">
        <v>235</v>
      </c>
      <c r="B48" s="149">
        <f>E18</f>
        <v>0</v>
      </c>
      <c r="C48" s="157">
        <f>E18/E4</f>
        <v>0</v>
      </c>
      <c r="D48" s="162">
        <f>E19</f>
        <v>0</v>
      </c>
      <c r="E48" s="163">
        <f>B48*C48*D48</f>
        <v>0</v>
      </c>
      <c r="F48" s="93"/>
      <c r="G48" s="51"/>
      <c r="H48" s="74"/>
      <c r="I48" s="69" t="s">
        <v>189</v>
      </c>
      <c r="J48" s="70" t="s">
        <v>190</v>
      </c>
      <c r="K48" s="71" t="s">
        <v>191</v>
      </c>
    </row>
    <row r="49" spans="1:11" ht="14.4">
      <c r="A49" s="146" t="s">
        <v>82</v>
      </c>
      <c r="B49" s="230">
        <f>E12</f>
        <v>2700</v>
      </c>
      <c r="C49" s="157"/>
      <c r="D49" s="158"/>
      <c r="E49" s="163">
        <f>B49</f>
        <v>2700</v>
      </c>
      <c r="F49" s="93"/>
      <c r="G49" s="51"/>
      <c r="H49" s="74"/>
      <c r="I49" s="56" t="s">
        <v>167</v>
      </c>
      <c r="J49" s="51">
        <v>8</v>
      </c>
      <c r="K49" s="57">
        <v>12</v>
      </c>
    </row>
    <row r="50" spans="1:11" ht="14.4">
      <c r="A50" s="189" t="s">
        <v>236</v>
      </c>
      <c r="B50" s="150"/>
      <c r="C50" s="157"/>
      <c r="D50" s="158"/>
      <c r="E50" s="163"/>
      <c r="F50" s="93"/>
      <c r="G50" s="51"/>
      <c r="H50" s="74"/>
      <c r="I50" s="56" t="s">
        <v>168</v>
      </c>
      <c r="J50" s="51">
        <v>32</v>
      </c>
      <c r="K50" s="57">
        <v>40</v>
      </c>
    </row>
    <row r="51" spans="1:11" ht="14.4">
      <c r="A51" s="152" t="s">
        <v>125</v>
      </c>
      <c r="B51" s="153"/>
      <c r="C51" s="154"/>
      <c r="D51" s="155"/>
      <c r="E51" s="164">
        <f>+E45-E46-E47-E48-E49-E50</f>
        <v>3920</v>
      </c>
      <c r="F51" s="93"/>
      <c r="G51" s="51"/>
      <c r="H51" s="74"/>
      <c r="I51" s="79" t="s">
        <v>171</v>
      </c>
      <c r="J51" s="195">
        <f>K51*(1-0.05)</f>
        <v>2623.9</v>
      </c>
      <c r="K51" s="195">
        <f>B105</f>
        <v>2762</v>
      </c>
    </row>
    <row r="52" spans="1:11" ht="15" thickBot="1">
      <c r="A52" s="144"/>
      <c r="B52" s="157"/>
      <c r="C52" s="157"/>
      <c r="D52" s="158"/>
      <c r="E52" s="165"/>
      <c r="F52" s="93"/>
      <c r="G52" s="51"/>
      <c r="H52" s="76"/>
      <c r="I52" s="77"/>
      <c r="J52" s="77"/>
      <c r="K52" s="77"/>
    </row>
    <row r="53" spans="1:11" ht="14.4">
      <c r="A53" s="406" t="s">
        <v>211</v>
      </c>
      <c r="B53" s="407"/>
      <c r="C53" s="407"/>
      <c r="D53" s="407"/>
      <c r="E53" s="408"/>
      <c r="F53" s="93"/>
      <c r="G53" s="51"/>
    </row>
    <row r="54" spans="1:11" ht="14.4">
      <c r="A54" s="144"/>
      <c r="B54" s="159" t="s">
        <v>215</v>
      </c>
      <c r="C54" s="159" t="s">
        <v>12</v>
      </c>
      <c r="D54" s="159" t="s">
        <v>207</v>
      </c>
      <c r="E54" s="167" t="s">
        <v>208</v>
      </c>
      <c r="F54" s="93"/>
      <c r="G54" s="51"/>
    </row>
    <row r="55" spans="1:11" ht="14.4">
      <c r="A55" s="146" t="s">
        <v>209</v>
      </c>
      <c r="B55" s="147">
        <f>F4</f>
        <v>200</v>
      </c>
      <c r="C55" s="148"/>
      <c r="D55" s="207">
        <f>F5</f>
        <v>64</v>
      </c>
      <c r="E55" s="161">
        <f>B55*D55</f>
        <v>12800</v>
      </c>
      <c r="F55" s="93"/>
      <c r="G55" s="51"/>
    </row>
    <row r="56" spans="1:11" ht="14.4">
      <c r="A56" s="146" t="s">
        <v>210</v>
      </c>
      <c r="B56" s="149">
        <f>B55</f>
        <v>200</v>
      </c>
      <c r="C56" s="231">
        <f>F7</f>
        <v>4.5</v>
      </c>
      <c r="D56" s="215">
        <f>F9</f>
        <v>6</v>
      </c>
      <c r="E56" s="163">
        <f>B56*C56*D56</f>
        <v>5400</v>
      </c>
      <c r="F56" s="93"/>
      <c r="G56" s="51"/>
    </row>
    <row r="57" spans="1:11" ht="14.4">
      <c r="A57" s="146" t="s">
        <v>111</v>
      </c>
      <c r="B57" s="149">
        <f>B56</f>
        <v>200</v>
      </c>
      <c r="C57" s="157">
        <f>E16</f>
        <v>0.35</v>
      </c>
      <c r="D57" s="162">
        <f>F15</f>
        <v>23.4</v>
      </c>
      <c r="E57" s="163">
        <f>B57*C57*D57</f>
        <v>1638</v>
      </c>
      <c r="F57" s="93"/>
      <c r="G57" s="51"/>
    </row>
    <row r="58" spans="1:11" ht="14.4">
      <c r="A58" s="146" t="s">
        <v>235</v>
      </c>
      <c r="B58" s="149">
        <f>F18</f>
        <v>0</v>
      </c>
      <c r="C58" s="157">
        <f>F18/F4</f>
        <v>0</v>
      </c>
      <c r="D58" s="162">
        <f>F19</f>
        <v>0</v>
      </c>
      <c r="E58" s="163">
        <f>B58*C58*D58</f>
        <v>0</v>
      </c>
      <c r="F58" s="93"/>
      <c r="G58" s="51"/>
    </row>
    <row r="59" spans="1:11" ht="14.4">
      <c r="A59" s="146" t="s">
        <v>82</v>
      </c>
      <c r="B59" s="230">
        <f>F12</f>
        <v>3000</v>
      </c>
      <c r="C59" s="157"/>
      <c r="D59" s="158"/>
      <c r="E59" s="163">
        <f>B59</f>
        <v>3000</v>
      </c>
      <c r="F59" s="93"/>
      <c r="G59" s="51"/>
    </row>
    <row r="60" spans="1:11" ht="14.4">
      <c r="A60" s="189" t="s">
        <v>236</v>
      </c>
      <c r="B60" s="150"/>
      <c r="C60" s="157"/>
      <c r="D60" s="158"/>
      <c r="E60" s="163"/>
      <c r="F60" s="93"/>
      <c r="G60" s="51"/>
    </row>
    <row r="61" spans="1:11" ht="15" thickBot="1">
      <c r="A61" s="168" t="s">
        <v>125</v>
      </c>
      <c r="B61" s="169"/>
      <c r="C61" s="170"/>
      <c r="D61" s="171"/>
      <c r="E61" s="172">
        <f>+E55-E56-E57-E58-E59-E60</f>
        <v>2762</v>
      </c>
      <c r="F61" s="93"/>
      <c r="G61" s="51"/>
    </row>
    <row r="62" spans="1:11" ht="14.4">
      <c r="A62" s="371"/>
      <c r="B62" s="372"/>
      <c r="C62" s="372"/>
      <c r="D62" s="372"/>
      <c r="E62" s="372"/>
      <c r="F62" s="372"/>
      <c r="G62" s="372"/>
    </row>
    <row r="63" spans="1:11" ht="21.6" thickBot="1">
      <c r="A63" s="391" t="s">
        <v>187</v>
      </c>
      <c r="B63" s="391"/>
      <c r="C63" s="391"/>
      <c r="D63" s="391"/>
      <c r="E63" s="391"/>
      <c r="G63" s="51"/>
    </row>
    <row r="64" spans="1:11">
      <c r="A64" s="393" t="s">
        <v>234</v>
      </c>
      <c r="B64" s="394"/>
      <c r="C64" s="394"/>
      <c r="D64" s="394"/>
      <c r="E64" s="395"/>
      <c r="F64" s="130"/>
    </row>
    <row r="65" spans="1:11">
      <c r="A65" s="396"/>
      <c r="B65" s="397"/>
      <c r="C65" s="397"/>
      <c r="D65" s="397"/>
      <c r="E65" s="398"/>
      <c r="F65" s="51"/>
    </row>
    <row r="66" spans="1:11" ht="15.6">
      <c r="A66" s="399" t="s">
        <v>232</v>
      </c>
      <c r="B66" s="400"/>
      <c r="C66" s="210" t="s">
        <v>224</v>
      </c>
      <c r="D66" s="213">
        <f>(E41-E31)</f>
        <v>620</v>
      </c>
      <c r="E66" s="211" t="str">
        <f>IF(D66&gt;0,"F","U")</f>
        <v>F</v>
      </c>
      <c r="F66" s="51"/>
    </row>
    <row r="67" spans="1:11">
      <c r="A67" s="401"/>
      <c r="B67" s="402"/>
      <c r="C67" s="132" t="s">
        <v>7</v>
      </c>
      <c r="D67" s="129">
        <f>C10-D10</f>
        <v>-500</v>
      </c>
      <c r="E67" s="135" t="str">
        <f>IF(D67&gt;0,"F","U")</f>
        <v>U</v>
      </c>
      <c r="F67" s="375" t="s">
        <v>231</v>
      </c>
      <c r="G67" s="375"/>
      <c r="H67" s="375"/>
      <c r="I67" s="375"/>
    </row>
    <row r="68" spans="1:11">
      <c r="A68" s="401"/>
      <c r="B68" s="402"/>
      <c r="C68" s="56" t="s">
        <v>111</v>
      </c>
      <c r="D68" s="2">
        <f>C17-D17</f>
        <v>-160</v>
      </c>
      <c r="E68" s="135" t="str">
        <f t="shared" ref="E68:E86" si="4">IF(D68&gt;0,"F","U")</f>
        <v>U</v>
      </c>
      <c r="F68" s="375"/>
      <c r="G68" s="375"/>
      <c r="H68" s="375"/>
      <c r="I68" s="375"/>
    </row>
    <row r="69" spans="1:11">
      <c r="A69" s="401"/>
      <c r="B69" s="402"/>
      <c r="C69" s="133" t="s">
        <v>235</v>
      </c>
      <c r="D69" s="2">
        <f>C20-D20</f>
        <v>0</v>
      </c>
      <c r="E69" s="135" t="str">
        <f t="shared" si="4"/>
        <v>U</v>
      </c>
      <c r="F69" s="375"/>
      <c r="G69" s="375"/>
      <c r="H69" s="375"/>
      <c r="I69" s="375"/>
    </row>
    <row r="70" spans="1:11" ht="17.399999999999999">
      <c r="A70" s="228"/>
      <c r="B70" s="405" t="s">
        <v>225</v>
      </c>
      <c r="C70" s="405"/>
      <c r="D70" s="265">
        <f>D67+D68+D69</f>
        <v>-660</v>
      </c>
      <c r="E70" s="135" t="str">
        <f t="shared" si="4"/>
        <v>U</v>
      </c>
      <c r="F70" s="192"/>
      <c r="G70" s="192"/>
      <c r="H70" s="192"/>
      <c r="I70" s="192"/>
    </row>
    <row r="71" spans="1:11" ht="14.4">
      <c r="A71" s="74"/>
      <c r="B71" s="378" t="s">
        <v>178</v>
      </c>
      <c r="C71" s="379"/>
      <c r="D71" s="132">
        <f>(D36-D26)*B46*C46</f>
        <v>0</v>
      </c>
      <c r="E71" s="135" t="str">
        <f t="shared" si="4"/>
        <v>U</v>
      </c>
      <c r="F71" s="377" t="s">
        <v>179</v>
      </c>
      <c r="G71" s="377"/>
      <c r="H71" s="377"/>
      <c r="I71" s="377"/>
      <c r="J71" s="190"/>
      <c r="K71" s="190"/>
    </row>
    <row r="72" spans="1:11" ht="14.4">
      <c r="A72" s="74"/>
      <c r="B72" s="380" t="s">
        <v>180</v>
      </c>
      <c r="C72" s="381"/>
      <c r="D72" s="266">
        <f>(B55-B25)*D25</f>
        <v>1280</v>
      </c>
      <c r="E72" s="135" t="str">
        <f t="shared" si="4"/>
        <v>F</v>
      </c>
      <c r="F72" s="377" t="s">
        <v>181</v>
      </c>
      <c r="G72" s="377"/>
      <c r="H72" s="377"/>
      <c r="I72" s="377"/>
      <c r="J72" s="191"/>
      <c r="K72" s="190"/>
    </row>
    <row r="73" spans="1:11" ht="14.4">
      <c r="A73" s="74"/>
      <c r="B73" s="51"/>
      <c r="C73" s="131" t="s">
        <v>182</v>
      </c>
      <c r="D73" s="267">
        <f>(E61-E31)*J46*D25</f>
        <v>0</v>
      </c>
      <c r="E73" s="135" t="str">
        <f t="shared" si="4"/>
        <v>U</v>
      </c>
      <c r="F73" s="377" t="s">
        <v>183</v>
      </c>
      <c r="G73" s="377"/>
      <c r="H73" s="377"/>
      <c r="I73" s="377"/>
      <c r="J73" s="296"/>
    </row>
    <row r="74" spans="1:11" ht="14.4">
      <c r="A74" s="193"/>
      <c r="B74" s="89"/>
      <c r="C74" s="128" t="s">
        <v>184</v>
      </c>
      <c r="D74" s="194">
        <f>D72-D73</f>
        <v>1280</v>
      </c>
      <c r="E74" s="135" t="str">
        <f t="shared" si="4"/>
        <v>F</v>
      </c>
      <c r="F74" s="376"/>
      <c r="G74" s="376"/>
      <c r="H74" s="376"/>
      <c r="I74" s="376"/>
      <c r="J74" s="376"/>
    </row>
    <row r="75" spans="1:11" ht="15.6">
      <c r="A75" s="399" t="s">
        <v>227</v>
      </c>
      <c r="B75" s="400"/>
      <c r="C75" s="210" t="s">
        <v>175</v>
      </c>
      <c r="D75" s="213">
        <f>(D55-D25)*B55</f>
        <v>0</v>
      </c>
      <c r="E75" s="135" t="str">
        <f t="shared" si="4"/>
        <v>U</v>
      </c>
      <c r="F75" s="377" t="s">
        <v>179</v>
      </c>
      <c r="G75" s="377"/>
      <c r="H75" s="377"/>
      <c r="I75" s="377"/>
    </row>
    <row r="76" spans="1:11" ht="15.6">
      <c r="A76" s="401"/>
      <c r="B76" s="402"/>
      <c r="C76" s="210" t="s">
        <v>250</v>
      </c>
      <c r="D76" s="212">
        <f>D78</f>
        <v>-438.00000000000011</v>
      </c>
      <c r="E76" s="135" t="str">
        <f t="shared" si="4"/>
        <v>U</v>
      </c>
      <c r="F76" s="376"/>
      <c r="G76" s="376"/>
      <c r="H76" s="376"/>
      <c r="I76" s="376"/>
      <c r="J76" s="376"/>
    </row>
    <row r="77" spans="1:11" ht="15.6">
      <c r="A77" s="401"/>
      <c r="B77" s="402"/>
      <c r="C77" s="210" t="s">
        <v>251</v>
      </c>
      <c r="D77" s="213">
        <f>(E29-E59)+(E30-E60)</f>
        <v>-300</v>
      </c>
      <c r="E77" s="135" t="str">
        <f t="shared" si="4"/>
        <v>U</v>
      </c>
      <c r="G77" s="58"/>
      <c r="H77" s="58"/>
      <c r="I77" s="58"/>
      <c r="J77" s="58"/>
    </row>
    <row r="78" spans="1:11" ht="15.6">
      <c r="A78" s="208"/>
      <c r="B78" s="403" t="s">
        <v>250</v>
      </c>
      <c r="C78" s="404"/>
      <c r="D78" s="209">
        <f>+D82+D86</f>
        <v>-438.00000000000011</v>
      </c>
      <c r="E78" s="135" t="str">
        <f t="shared" si="4"/>
        <v>U</v>
      </c>
      <c r="G78" s="58"/>
      <c r="H78" s="58"/>
      <c r="I78" s="58"/>
      <c r="J78" s="58"/>
    </row>
    <row r="79" spans="1:11">
      <c r="A79" s="388"/>
      <c r="B79" s="382" t="s">
        <v>227</v>
      </c>
      <c r="C79" s="141" t="s">
        <v>7</v>
      </c>
      <c r="D79" s="142">
        <f>(D26-D56)*C56*B56</f>
        <v>-900</v>
      </c>
      <c r="E79" s="135" t="str">
        <f t="shared" si="4"/>
        <v>U</v>
      </c>
      <c r="F79" s="373" t="s">
        <v>258</v>
      </c>
      <c r="G79" s="374"/>
      <c r="H79" s="374"/>
      <c r="I79" s="374"/>
    </row>
    <row r="80" spans="1:11">
      <c r="A80" s="388"/>
      <c r="B80" s="383"/>
      <c r="C80" s="56" t="s">
        <v>111</v>
      </c>
      <c r="D80" s="2">
        <f>(D27-D57)*B57*C57</f>
        <v>42.000000000000099</v>
      </c>
      <c r="E80" s="135" t="str">
        <f t="shared" si="4"/>
        <v>F</v>
      </c>
      <c r="F80" s="374"/>
      <c r="G80" s="374"/>
      <c r="H80" s="374"/>
      <c r="I80" s="374"/>
    </row>
    <row r="81" spans="1:10">
      <c r="A81" s="388"/>
      <c r="B81" s="383"/>
      <c r="C81" s="133" t="s">
        <v>226</v>
      </c>
      <c r="D81" s="2">
        <f>(D28-D58)*B58*C58</f>
        <v>0</v>
      </c>
      <c r="E81" s="135" t="str">
        <f t="shared" si="4"/>
        <v>U</v>
      </c>
      <c r="F81" s="374"/>
      <c r="G81" s="374"/>
      <c r="H81" s="374"/>
      <c r="I81" s="374"/>
    </row>
    <row r="82" spans="1:10">
      <c r="A82" s="388"/>
      <c r="B82" s="384"/>
      <c r="C82" s="134" t="s">
        <v>229</v>
      </c>
      <c r="D82" s="265">
        <f>D79+D80+D81</f>
        <v>-857.99999999999989</v>
      </c>
      <c r="E82" s="135" t="str">
        <f t="shared" si="4"/>
        <v>U</v>
      </c>
      <c r="F82" s="192"/>
      <c r="G82" s="192"/>
      <c r="H82" s="192"/>
      <c r="I82" s="192"/>
    </row>
    <row r="83" spans="1:10">
      <c r="A83" s="388"/>
      <c r="B83" s="385" t="s">
        <v>228</v>
      </c>
      <c r="C83" s="132" t="s">
        <v>7</v>
      </c>
      <c r="D83" s="129">
        <f>(C36-C56)*D26*B56</f>
        <v>500</v>
      </c>
      <c r="E83" s="135" t="str">
        <f t="shared" si="4"/>
        <v>F</v>
      </c>
      <c r="F83" s="375" t="s">
        <v>259</v>
      </c>
      <c r="G83" s="374"/>
      <c r="H83" s="374"/>
      <c r="I83" s="374"/>
    </row>
    <row r="84" spans="1:10">
      <c r="A84" s="388"/>
      <c r="B84" s="386"/>
      <c r="C84" s="56" t="s">
        <v>111</v>
      </c>
      <c r="D84" s="2">
        <f>(C37*B37-C57*B57)*D27</f>
        <v>-80.000000000000227</v>
      </c>
      <c r="E84" s="135" t="str">
        <f t="shared" si="4"/>
        <v>U</v>
      </c>
      <c r="F84" s="374"/>
      <c r="G84" s="374"/>
      <c r="H84" s="374"/>
      <c r="I84" s="374"/>
      <c r="J84" s="232"/>
    </row>
    <row r="85" spans="1:10">
      <c r="A85" s="388"/>
      <c r="B85" s="386"/>
      <c r="C85" s="133" t="s">
        <v>226</v>
      </c>
      <c r="D85" s="2">
        <f>(C38*B38-C58*B58)*D28</f>
        <v>0</v>
      </c>
      <c r="E85" s="135" t="str">
        <f t="shared" si="4"/>
        <v>U</v>
      </c>
      <c r="F85" s="374"/>
      <c r="G85" s="374"/>
      <c r="H85" s="374"/>
      <c r="I85" s="374"/>
      <c r="J85" s="232"/>
    </row>
    <row r="86" spans="1:10" ht="14.4" thickBot="1">
      <c r="A86" s="389"/>
      <c r="B86" s="387"/>
      <c r="C86" s="138" t="s">
        <v>230</v>
      </c>
      <c r="D86" s="139">
        <f>D83+D84+D85</f>
        <v>419.99999999999977</v>
      </c>
      <c r="E86" s="135" t="str">
        <f t="shared" si="4"/>
        <v>F</v>
      </c>
    </row>
    <row r="87" spans="1:10">
      <c r="D87" s="2">
        <f>D66+D75+D76+D77</f>
        <v>-118.00000000000011</v>
      </c>
    </row>
    <row r="88" spans="1:10" ht="14.4">
      <c r="A88" s="92"/>
      <c r="B88" s="91"/>
      <c r="C88" s="91"/>
      <c r="D88" s="91"/>
      <c r="E88" s="91"/>
    </row>
    <row r="89" spans="1:10" ht="21">
      <c r="A89" s="390" t="s">
        <v>199</v>
      </c>
      <c r="B89" s="391"/>
      <c r="C89" s="391"/>
      <c r="D89" s="391"/>
      <c r="E89" s="391"/>
    </row>
    <row r="90" spans="1:10" ht="14.4">
      <c r="A90" s="173" t="s">
        <v>200</v>
      </c>
      <c r="B90" s="275">
        <f>C21</f>
        <v>2880</v>
      </c>
      <c r="C90" s="278"/>
      <c r="D90" s="91"/>
      <c r="E90" s="93"/>
      <c r="G90" s="88"/>
    </row>
    <row r="91" spans="1:10" ht="14.4">
      <c r="A91" s="173" t="s">
        <v>263</v>
      </c>
      <c r="B91" s="277">
        <f>D66+D75</f>
        <v>620</v>
      </c>
      <c r="C91" s="279" t="str">
        <f>IF(B91&gt;0,"F","U")</f>
        <v>F</v>
      </c>
      <c r="D91" s="91"/>
      <c r="E91" s="93"/>
      <c r="G91" s="88"/>
    </row>
    <row r="92" spans="1:10" ht="18">
      <c r="A92" s="282" t="s">
        <v>201</v>
      </c>
      <c r="B92" s="276">
        <f>B93+B94</f>
        <v>780</v>
      </c>
      <c r="C92" s="279" t="str">
        <f t="shared" ref="C92:C104" si="5">IF(B92&gt;0,"F","U")</f>
        <v>F</v>
      </c>
      <c r="D92" s="370" t="s">
        <v>216</v>
      </c>
      <c r="E92" s="370"/>
      <c r="F92" s="185"/>
      <c r="G92" s="185"/>
    </row>
    <row r="93" spans="1:10" ht="18">
      <c r="A93" s="274" t="s">
        <v>299</v>
      </c>
      <c r="B93" s="283">
        <f>D72</f>
        <v>1280</v>
      </c>
      <c r="C93" s="279" t="str">
        <f t="shared" si="5"/>
        <v>F</v>
      </c>
      <c r="D93" s="297"/>
      <c r="E93" s="297"/>
      <c r="F93" s="185"/>
      <c r="G93" s="185"/>
    </row>
    <row r="94" spans="1:10" ht="18">
      <c r="A94" s="274" t="s">
        <v>300</v>
      </c>
      <c r="B94" s="283">
        <f>D67</f>
        <v>-500</v>
      </c>
      <c r="C94" s="279" t="str">
        <f t="shared" si="5"/>
        <v>U</v>
      </c>
      <c r="D94" s="297"/>
      <c r="E94" s="297"/>
      <c r="F94" s="185"/>
      <c r="G94" s="185"/>
    </row>
    <row r="95" spans="1:10" ht="18">
      <c r="A95" s="274" t="s">
        <v>301</v>
      </c>
      <c r="B95" s="283">
        <f>D68</f>
        <v>-160</v>
      </c>
      <c r="C95" s="279" t="str">
        <f t="shared" si="5"/>
        <v>U</v>
      </c>
      <c r="D95" s="297"/>
      <c r="E95" s="297"/>
      <c r="F95" s="185"/>
      <c r="G95" s="185"/>
    </row>
    <row r="96" spans="1:10" ht="18">
      <c r="A96" s="282" t="s">
        <v>222</v>
      </c>
      <c r="B96" s="276">
        <f>(D55-D25)*B55</f>
        <v>0</v>
      </c>
      <c r="C96" s="279" t="str">
        <f t="shared" si="5"/>
        <v>U</v>
      </c>
      <c r="D96" s="370" t="s">
        <v>198</v>
      </c>
      <c r="E96" s="370"/>
      <c r="F96" s="185"/>
      <c r="G96" s="185"/>
    </row>
    <row r="97" spans="1:6" ht="14.4">
      <c r="A97" s="173" t="s">
        <v>265</v>
      </c>
      <c r="B97" s="277">
        <f>B98+B99</f>
        <v>-400</v>
      </c>
      <c r="C97" s="279" t="str">
        <f t="shared" si="5"/>
        <v>U</v>
      </c>
      <c r="D97" s="93"/>
      <c r="E97" s="93"/>
    </row>
    <row r="98" spans="1:6" ht="14.4">
      <c r="A98" s="274" t="s">
        <v>302</v>
      </c>
      <c r="B98" s="283">
        <f>D83</f>
        <v>500</v>
      </c>
      <c r="C98" s="279" t="str">
        <f t="shared" si="5"/>
        <v>F</v>
      </c>
      <c r="D98" s="93"/>
      <c r="E98" s="93"/>
    </row>
    <row r="99" spans="1:6" ht="14.4">
      <c r="A99" s="274" t="s">
        <v>260</v>
      </c>
      <c r="B99" s="283">
        <f>D79</f>
        <v>-900</v>
      </c>
      <c r="C99" s="279" t="str">
        <f t="shared" si="5"/>
        <v>U</v>
      </c>
      <c r="D99" s="93"/>
      <c r="E99" s="93"/>
    </row>
    <row r="100" spans="1:6" ht="14.4">
      <c r="A100" s="173" t="s">
        <v>264</v>
      </c>
      <c r="B100" s="277">
        <f>B101+B102</f>
        <v>-38.000000000000128</v>
      </c>
      <c r="C100" s="279" t="str">
        <f t="shared" si="5"/>
        <v>U</v>
      </c>
      <c r="D100" s="93"/>
      <c r="E100" s="51"/>
    </row>
    <row r="101" spans="1:6" ht="14.4">
      <c r="A101" s="274" t="s">
        <v>267</v>
      </c>
      <c r="B101" s="283">
        <f>D84</f>
        <v>-80.000000000000227</v>
      </c>
      <c r="C101" s="279" t="str">
        <f t="shared" si="5"/>
        <v>U</v>
      </c>
      <c r="D101" s="93"/>
      <c r="E101" s="51"/>
    </row>
    <row r="102" spans="1:6" ht="14.4">
      <c r="A102" s="274" t="s">
        <v>268</v>
      </c>
      <c r="B102" s="283">
        <f>D80</f>
        <v>42.000000000000099</v>
      </c>
      <c r="C102" s="279" t="str">
        <f t="shared" si="5"/>
        <v>F</v>
      </c>
      <c r="D102" s="93"/>
      <c r="E102" s="51"/>
    </row>
    <row r="103" spans="1:6" ht="14.4">
      <c r="A103" s="284" t="s">
        <v>226</v>
      </c>
      <c r="B103" s="286">
        <f>D81+D85</f>
        <v>0</v>
      </c>
      <c r="C103" s="279" t="str">
        <f t="shared" si="5"/>
        <v>U</v>
      </c>
      <c r="D103" s="91"/>
    </row>
    <row r="104" spans="1:6" ht="14.4">
      <c r="A104" s="173" t="s">
        <v>269</v>
      </c>
      <c r="B104" s="277">
        <f>D77</f>
        <v>-300</v>
      </c>
      <c r="C104" s="279" t="str">
        <f t="shared" si="5"/>
        <v>U</v>
      </c>
      <c r="D104" s="93"/>
    </row>
    <row r="105" spans="1:6" ht="15" thickBot="1">
      <c r="A105" s="174" t="s">
        <v>203</v>
      </c>
      <c r="B105" s="277">
        <f>E61</f>
        <v>2762</v>
      </c>
      <c r="C105" s="280"/>
      <c r="D105" s="91"/>
      <c r="F105" s="232"/>
    </row>
    <row r="106" spans="1:6" ht="18.600000000000001" thickBot="1">
      <c r="A106" s="188" t="s">
        <v>223</v>
      </c>
      <c r="B106" s="186">
        <f>B105-B90</f>
        <v>-118</v>
      </c>
      <c r="C106" s="175" t="str">
        <f>IF(B106&gt;0,"F","U")</f>
        <v>U</v>
      </c>
      <c r="D106" s="106"/>
      <c r="E106" s="93"/>
      <c r="F106" s="232"/>
    </row>
    <row r="107" spans="1:6">
      <c r="A107" s="51"/>
      <c r="B107" s="187"/>
      <c r="C107" s="51"/>
      <c r="D107" s="51"/>
      <c r="E107" s="51"/>
    </row>
    <row r="108" spans="1:6">
      <c r="A108">
        <v>1</v>
      </c>
      <c r="B108" t="s">
        <v>156</v>
      </c>
    </row>
    <row r="109" spans="1:6">
      <c r="A109">
        <v>2</v>
      </c>
      <c r="B109" t="s">
        <v>157</v>
      </c>
    </row>
    <row r="110" spans="1:6">
      <c r="A110">
        <v>3</v>
      </c>
      <c r="B110" t="s">
        <v>158</v>
      </c>
    </row>
    <row r="111" spans="1:6">
      <c r="A111">
        <v>4</v>
      </c>
      <c r="B111" t="s">
        <v>159</v>
      </c>
    </row>
    <row r="112" spans="1:6">
      <c r="A112">
        <v>5</v>
      </c>
      <c r="B112" t="s">
        <v>160</v>
      </c>
    </row>
    <row r="113" spans="1:2">
      <c r="A113">
        <v>6</v>
      </c>
      <c r="B113" t="s">
        <v>161</v>
      </c>
    </row>
  </sheetData>
  <mergeCells count="33">
    <mergeCell ref="A64:E65"/>
    <mergeCell ref="A1:J1"/>
    <mergeCell ref="A4:A6"/>
    <mergeCell ref="A7:A10"/>
    <mergeCell ref="A11:A20"/>
    <mergeCell ref="A23:E23"/>
    <mergeCell ref="A33:E33"/>
    <mergeCell ref="A43:E43"/>
    <mergeCell ref="I44:K45"/>
    <mergeCell ref="A53:E53"/>
    <mergeCell ref="A62:G62"/>
    <mergeCell ref="A63:E63"/>
    <mergeCell ref="B78:C78"/>
    <mergeCell ref="A66:B69"/>
    <mergeCell ref="F67:I69"/>
    <mergeCell ref="B70:C70"/>
    <mergeCell ref="B71:C71"/>
    <mergeCell ref="F71:I71"/>
    <mergeCell ref="B72:C72"/>
    <mergeCell ref="F72:I72"/>
    <mergeCell ref="F73:I73"/>
    <mergeCell ref="F74:J74"/>
    <mergeCell ref="A75:B77"/>
    <mergeCell ref="F75:I75"/>
    <mergeCell ref="F76:J76"/>
    <mergeCell ref="D92:E92"/>
    <mergeCell ref="D96:E96"/>
    <mergeCell ref="A79:A86"/>
    <mergeCell ref="B79:B82"/>
    <mergeCell ref="F79:I81"/>
    <mergeCell ref="B83:B86"/>
    <mergeCell ref="F83:I85"/>
    <mergeCell ref="A89:E8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D43B-9E01-4290-BB83-2872FD3E5259}">
  <dimension ref="A1:L35"/>
  <sheetViews>
    <sheetView zoomScale="55" zoomScaleNormal="55" workbookViewId="0">
      <selection activeCell="G44" sqref="G44"/>
    </sheetView>
  </sheetViews>
  <sheetFormatPr baseColWidth="10" defaultRowHeight="13.8"/>
  <sheetData>
    <row r="1" spans="1:12" ht="32.4">
      <c r="A1" s="311" t="s">
        <v>185</v>
      </c>
      <c r="B1" s="392"/>
      <c r="C1" s="392"/>
      <c r="D1" s="392"/>
      <c r="E1" s="392"/>
      <c r="F1" s="392"/>
      <c r="G1" s="392"/>
      <c r="H1" s="392"/>
      <c r="I1" s="392"/>
      <c r="J1" s="392"/>
    </row>
    <row r="3" spans="1:12">
      <c r="A3" s="424" t="s">
        <v>162</v>
      </c>
      <c r="B3" s="59" t="s">
        <v>186</v>
      </c>
      <c r="C3" s="60" t="s">
        <v>15</v>
      </c>
      <c r="D3" s="60" t="s">
        <v>169</v>
      </c>
      <c r="E3" s="60" t="s">
        <v>163</v>
      </c>
      <c r="F3" s="64" t="s">
        <v>164</v>
      </c>
    </row>
    <row r="4" spans="1:12">
      <c r="A4" s="425"/>
      <c r="B4" s="56" t="s">
        <v>167</v>
      </c>
      <c r="C4" s="51">
        <v>180</v>
      </c>
      <c r="D4" s="83">
        <v>64</v>
      </c>
      <c r="E4" s="83">
        <f>C4*D4</f>
        <v>11520</v>
      </c>
      <c r="F4" s="65">
        <f>E4/E6</f>
        <v>0.76595744680851063</v>
      </c>
    </row>
    <row r="5" spans="1:12">
      <c r="A5" s="425"/>
      <c r="B5" s="56" t="s">
        <v>168</v>
      </c>
      <c r="C5" s="51">
        <v>80</v>
      </c>
      <c r="D5" s="83">
        <v>44</v>
      </c>
      <c r="E5" s="83">
        <f>C5*D5</f>
        <v>3520</v>
      </c>
      <c r="F5" s="65">
        <f>E5/E6</f>
        <v>0.23404255319148937</v>
      </c>
    </row>
    <row r="6" spans="1:12" ht="14.4" thickBot="1">
      <c r="A6" s="426"/>
      <c r="B6" s="62" t="s">
        <v>171</v>
      </c>
      <c r="C6" s="63">
        <f>SUM(C4:C5)</f>
        <v>260</v>
      </c>
      <c r="D6" s="84">
        <f>E6/C6</f>
        <v>57.846153846153847</v>
      </c>
      <c r="E6" s="84">
        <f>E4+E5</f>
        <v>15040</v>
      </c>
      <c r="F6" s="66">
        <f>F4+F5</f>
        <v>1</v>
      </c>
    </row>
    <row r="7" spans="1:12">
      <c r="D7" s="67"/>
      <c r="E7" s="67"/>
      <c r="H7" s="72"/>
      <c r="I7" s="418" t="s">
        <v>188</v>
      </c>
      <c r="J7" s="418"/>
      <c r="K7" s="418"/>
      <c r="L7" s="73"/>
    </row>
    <row r="8" spans="1:12">
      <c r="A8" s="424" t="s">
        <v>165</v>
      </c>
      <c r="B8" s="59" t="s">
        <v>186</v>
      </c>
      <c r="C8" s="60" t="s">
        <v>15</v>
      </c>
      <c r="D8" s="85" t="s">
        <v>169</v>
      </c>
      <c r="E8" s="85" t="s">
        <v>163</v>
      </c>
      <c r="F8" s="64" t="s">
        <v>164</v>
      </c>
      <c r="H8" s="74"/>
      <c r="I8" s="419"/>
      <c r="J8" s="419"/>
      <c r="K8" s="419"/>
      <c r="L8" s="75"/>
    </row>
    <row r="9" spans="1:12">
      <c r="A9" s="425"/>
      <c r="B9" s="56" t="s">
        <v>167</v>
      </c>
      <c r="C9">
        <v>160</v>
      </c>
      <c r="D9" s="67">
        <f>D4</f>
        <v>64</v>
      </c>
      <c r="E9" s="86">
        <f>C9*D9</f>
        <v>10240</v>
      </c>
      <c r="F9" s="65">
        <f>E9/E11</f>
        <v>0.67904509283819625</v>
      </c>
      <c r="H9" s="74"/>
      <c r="I9" s="51" t="s">
        <v>192</v>
      </c>
      <c r="J9" s="61">
        <v>0</v>
      </c>
      <c r="K9" s="51"/>
      <c r="L9" s="75"/>
    </row>
    <row r="10" spans="1:12">
      <c r="A10" s="425"/>
      <c r="B10" s="56" t="s">
        <v>168</v>
      </c>
      <c r="C10">
        <v>110</v>
      </c>
      <c r="D10" s="67">
        <f>D5</f>
        <v>44</v>
      </c>
      <c r="E10" s="86">
        <f>C10*D10</f>
        <v>4840</v>
      </c>
      <c r="F10" s="65">
        <f>E10/E11</f>
        <v>0.32095490716180369</v>
      </c>
      <c r="H10" s="74"/>
      <c r="I10" s="51"/>
      <c r="J10" s="51"/>
      <c r="K10" s="51"/>
      <c r="L10" s="75"/>
    </row>
    <row r="11" spans="1:12">
      <c r="A11" s="426"/>
      <c r="B11" s="62" t="s">
        <v>171</v>
      </c>
      <c r="C11" s="63">
        <f>C9+C10</f>
        <v>270</v>
      </c>
      <c r="D11" s="84">
        <f>E11/C11</f>
        <v>55.851851851851855</v>
      </c>
      <c r="E11" s="87">
        <f>E9+E10</f>
        <v>15080</v>
      </c>
      <c r="F11" s="66">
        <f>F9+F10</f>
        <v>1</v>
      </c>
      <c r="H11" s="74"/>
      <c r="I11" s="69" t="s">
        <v>189</v>
      </c>
      <c r="J11" s="70" t="s">
        <v>190</v>
      </c>
      <c r="K11" s="71" t="s">
        <v>191</v>
      </c>
      <c r="L11" s="75"/>
    </row>
    <row r="12" spans="1:12">
      <c r="D12" s="67"/>
      <c r="E12" s="67"/>
      <c r="H12" s="74"/>
      <c r="I12" s="56" t="s">
        <v>167</v>
      </c>
      <c r="J12" s="51">
        <v>8</v>
      </c>
      <c r="K12" s="57">
        <v>12</v>
      </c>
      <c r="L12" s="75"/>
    </row>
    <row r="13" spans="1:12">
      <c r="A13" s="424" t="s">
        <v>166</v>
      </c>
      <c r="B13" s="59" t="s">
        <v>186</v>
      </c>
      <c r="C13" s="60" t="s">
        <v>15</v>
      </c>
      <c r="D13" s="85" t="s">
        <v>169</v>
      </c>
      <c r="E13" s="85" t="s">
        <v>163</v>
      </c>
      <c r="F13" s="64" t="s">
        <v>164</v>
      </c>
      <c r="H13" s="74"/>
      <c r="I13" s="56" t="s">
        <v>168</v>
      </c>
      <c r="J13" s="51">
        <v>32</v>
      </c>
      <c r="K13" s="57">
        <v>40</v>
      </c>
      <c r="L13" s="75"/>
    </row>
    <row r="14" spans="1:12">
      <c r="A14" s="425"/>
      <c r="B14" s="56" t="s">
        <v>167</v>
      </c>
      <c r="C14">
        <v>160</v>
      </c>
      <c r="D14" s="67">
        <v>64</v>
      </c>
      <c r="E14" s="86">
        <f>C14*D14</f>
        <v>10240</v>
      </c>
      <c r="F14" s="65">
        <f>+E14/E16</f>
        <v>0.69945355191256831</v>
      </c>
      <c r="H14" s="74"/>
      <c r="I14" s="79" t="s">
        <v>171</v>
      </c>
      <c r="J14" s="80">
        <v>40</v>
      </c>
      <c r="K14" s="81">
        <v>52</v>
      </c>
      <c r="L14" s="75"/>
    </row>
    <row r="15" spans="1:12" ht="14.4" thickBot="1">
      <c r="A15" s="425"/>
      <c r="B15" s="56" t="s">
        <v>168</v>
      </c>
      <c r="C15">
        <v>110</v>
      </c>
      <c r="D15" s="67">
        <v>40</v>
      </c>
      <c r="E15" s="86">
        <f t="shared" ref="E15" si="0">C15*D15</f>
        <v>4400</v>
      </c>
      <c r="F15" s="65">
        <f>+E15/E16</f>
        <v>0.30054644808743169</v>
      </c>
      <c r="H15" s="76"/>
      <c r="I15" s="77"/>
      <c r="J15" s="77"/>
      <c r="K15" s="77"/>
      <c r="L15" s="78"/>
    </row>
    <row r="16" spans="1:12">
      <c r="A16" s="426"/>
      <c r="B16" s="62" t="s">
        <v>171</v>
      </c>
      <c r="C16" s="63">
        <f>SUM(C14:C15)</f>
        <v>270</v>
      </c>
      <c r="D16" s="84">
        <f>E16/C16</f>
        <v>54.222222222222221</v>
      </c>
      <c r="E16" s="87">
        <f>E14+E15</f>
        <v>14640</v>
      </c>
      <c r="F16" s="66">
        <f>F14+F15</f>
        <v>1</v>
      </c>
    </row>
    <row r="18" spans="1:11" ht="15.6">
      <c r="A18" s="420" t="s">
        <v>187</v>
      </c>
      <c r="B18" s="421"/>
      <c r="C18" s="421"/>
      <c r="D18" s="421"/>
      <c r="E18" s="421"/>
      <c r="F18" s="421"/>
      <c r="G18" s="421"/>
      <c r="H18" s="421"/>
      <c r="I18" s="421"/>
      <c r="J18" s="421"/>
    </row>
    <row r="19" spans="1:11" ht="14.4">
      <c r="A19" s="423" t="s">
        <v>172</v>
      </c>
      <c r="B19" s="423"/>
      <c r="C19" s="107" t="s">
        <v>194</v>
      </c>
      <c r="D19" s="108">
        <f>C16-C6</f>
        <v>10</v>
      </c>
      <c r="E19" s="82" t="str">
        <f>IF(D19&gt;0,"F","U")</f>
        <v>F</v>
      </c>
      <c r="F19" s="422" t="s">
        <v>195</v>
      </c>
      <c r="G19" s="422"/>
      <c r="H19" s="422"/>
      <c r="I19" s="422"/>
      <c r="J19" s="422"/>
    </row>
    <row r="20" spans="1:11" ht="14.4">
      <c r="A20" s="423"/>
      <c r="B20" s="423"/>
      <c r="C20" s="107" t="s">
        <v>163</v>
      </c>
      <c r="D20" s="109">
        <f>E16-E6</f>
        <v>-400</v>
      </c>
      <c r="E20" s="82" t="str">
        <f t="shared" ref="E20:E34" si="1">IF(D20&gt;0,"F","U")</f>
        <v>U</v>
      </c>
      <c r="F20" s="422" t="s">
        <v>193</v>
      </c>
      <c r="G20" s="422"/>
      <c r="H20" s="422"/>
      <c r="I20" s="422"/>
      <c r="J20" s="422"/>
    </row>
    <row r="21" spans="1:11" ht="17.399999999999999">
      <c r="A21" s="300"/>
      <c r="B21" s="300"/>
      <c r="C21" s="110"/>
      <c r="D21" s="110"/>
      <c r="E21" s="82"/>
      <c r="F21" s="299"/>
      <c r="G21" s="299"/>
      <c r="H21" s="299"/>
      <c r="I21" s="299"/>
      <c r="J21" s="299"/>
    </row>
    <row r="22" spans="1:11" ht="14.4">
      <c r="A22" s="378" t="s">
        <v>175</v>
      </c>
      <c r="B22" s="427"/>
      <c r="C22" s="115" t="s">
        <v>167</v>
      </c>
      <c r="D22" s="116">
        <f>(D14-D9)*C14</f>
        <v>0</v>
      </c>
      <c r="E22" s="117" t="str">
        <f t="shared" si="1"/>
        <v>U</v>
      </c>
      <c r="F22" s="422" t="s">
        <v>176</v>
      </c>
      <c r="G22" s="422"/>
      <c r="H22" s="422"/>
      <c r="I22" s="422"/>
      <c r="J22" s="422"/>
    </row>
    <row r="23" spans="1:11">
      <c r="A23" s="118"/>
      <c r="B23" s="51"/>
      <c r="C23" s="51" t="s">
        <v>168</v>
      </c>
      <c r="D23" s="83">
        <f>(D15-D10)*C15</f>
        <v>-440</v>
      </c>
      <c r="E23" s="119" t="str">
        <f t="shared" si="1"/>
        <v>U</v>
      </c>
      <c r="F23" s="422"/>
      <c r="G23" s="422"/>
      <c r="H23" s="422"/>
      <c r="I23" s="422"/>
      <c r="J23" s="422"/>
    </row>
    <row r="24" spans="1:11">
      <c r="A24" s="120"/>
      <c r="B24" s="89"/>
      <c r="C24" s="121" t="s">
        <v>177</v>
      </c>
      <c r="D24" s="122">
        <f>(D16-D11)*C16</f>
        <v>-440.00000000000102</v>
      </c>
      <c r="E24" s="123" t="str">
        <f t="shared" si="1"/>
        <v>U</v>
      </c>
      <c r="F24" s="422"/>
      <c r="G24" s="422"/>
      <c r="H24" s="422"/>
      <c r="I24" s="422"/>
      <c r="J24" s="422"/>
    </row>
    <row r="25" spans="1:11" ht="14.4">
      <c r="A25" s="111"/>
      <c r="B25" s="51"/>
      <c r="C25" s="51"/>
      <c r="D25" s="83"/>
      <c r="E25" s="82"/>
      <c r="F25" s="299"/>
      <c r="G25" s="299"/>
      <c r="H25" s="299"/>
      <c r="I25" s="299"/>
      <c r="J25" s="299"/>
    </row>
    <row r="26" spans="1:11" ht="14.4">
      <c r="A26" s="378" t="s">
        <v>173</v>
      </c>
      <c r="B26" s="379"/>
      <c r="C26" s="115" t="s">
        <v>167</v>
      </c>
      <c r="D26" s="124">
        <f>(C14-C4)*D4</f>
        <v>-1280</v>
      </c>
      <c r="E26" s="117" t="str">
        <f t="shared" si="1"/>
        <v>U</v>
      </c>
      <c r="F26" s="422" t="s">
        <v>196</v>
      </c>
      <c r="G26" s="422"/>
      <c r="H26" s="422"/>
      <c r="I26" s="422"/>
      <c r="J26" s="422"/>
      <c r="K26" s="422"/>
    </row>
    <row r="27" spans="1:11">
      <c r="A27" s="56"/>
      <c r="B27" s="57"/>
      <c r="C27" s="51" t="s">
        <v>168</v>
      </c>
      <c r="D27" s="113">
        <f>(C15-C5)*D5</f>
        <v>1320</v>
      </c>
      <c r="E27" s="119" t="str">
        <f t="shared" si="1"/>
        <v>F</v>
      </c>
      <c r="F27" s="422"/>
      <c r="G27" s="422"/>
      <c r="H27" s="422"/>
      <c r="I27" s="422"/>
      <c r="J27" s="422"/>
      <c r="K27" s="422"/>
    </row>
    <row r="28" spans="1:11">
      <c r="A28" s="125"/>
      <c r="B28" s="90"/>
      <c r="C28" s="112" t="s">
        <v>174</v>
      </c>
      <c r="D28" s="114">
        <f>D26+D27</f>
        <v>40</v>
      </c>
      <c r="E28" s="119" t="str">
        <f t="shared" si="1"/>
        <v>F</v>
      </c>
      <c r="F28" s="422"/>
      <c r="G28" s="422"/>
      <c r="H28" s="422"/>
      <c r="I28" s="422"/>
      <c r="J28" s="422"/>
      <c r="K28" s="422"/>
    </row>
    <row r="29" spans="1:11" ht="14.4">
      <c r="A29" s="56"/>
      <c r="B29" s="51"/>
      <c r="C29" s="51"/>
      <c r="D29" s="83"/>
      <c r="E29" s="119"/>
      <c r="F29" s="68"/>
      <c r="G29" s="68"/>
      <c r="H29" s="68"/>
      <c r="I29" s="68"/>
      <c r="J29" s="68"/>
    </row>
    <row r="30" spans="1:11" ht="14.4">
      <c r="A30" s="56"/>
      <c r="B30" s="127" t="s">
        <v>178</v>
      </c>
      <c r="C30" s="51">
        <f>(D11-D6)*C16</f>
        <v>-538.46153846153788</v>
      </c>
      <c r="D30" s="51"/>
      <c r="E30" s="119" t="str">
        <f>IF(C30&gt;0,"F","U")</f>
        <v>U</v>
      </c>
      <c r="F30" s="376" t="s">
        <v>179</v>
      </c>
      <c r="G30" s="376"/>
      <c r="H30" s="376"/>
      <c r="I30" s="376"/>
      <c r="J30" s="376"/>
    </row>
    <row r="31" spans="1:11" ht="14.4">
      <c r="A31" s="56"/>
      <c r="B31" s="128" t="s">
        <v>180</v>
      </c>
      <c r="C31" s="51">
        <f>(C16-C6)*D6</f>
        <v>578.46153846153845</v>
      </c>
      <c r="D31" s="51"/>
      <c r="E31" s="119" t="str">
        <f>IF(C31&gt;0,"F","U")</f>
        <v>F</v>
      </c>
      <c r="F31" s="376" t="s">
        <v>181</v>
      </c>
      <c r="G31" s="376"/>
      <c r="H31" s="376"/>
      <c r="I31" s="376"/>
      <c r="J31" s="376"/>
    </row>
    <row r="32" spans="1:11">
      <c r="A32" s="56"/>
      <c r="B32" s="51"/>
      <c r="C32" s="51"/>
      <c r="D32" s="51"/>
      <c r="E32" s="119"/>
    </row>
    <row r="33" spans="1:10" ht="14.4">
      <c r="A33" s="56"/>
      <c r="B33" s="51"/>
      <c r="C33" s="127" t="s">
        <v>182</v>
      </c>
      <c r="D33" s="83">
        <f>(K14-J14)*J9*D6</f>
        <v>0</v>
      </c>
      <c r="E33" s="119" t="str">
        <f t="shared" si="1"/>
        <v>U</v>
      </c>
      <c r="F33" s="376" t="s">
        <v>183</v>
      </c>
      <c r="G33" s="376"/>
      <c r="H33" s="376"/>
      <c r="I33" s="376"/>
      <c r="J33" s="376"/>
    </row>
    <row r="34" spans="1:10" ht="14.4">
      <c r="A34" s="125"/>
      <c r="B34" s="89"/>
      <c r="C34" s="128" t="s">
        <v>184</v>
      </c>
      <c r="D34" s="126">
        <f>C31-D33</f>
        <v>578.46153846153845</v>
      </c>
      <c r="E34" s="123" t="str">
        <f t="shared" si="1"/>
        <v>F</v>
      </c>
      <c r="G34" s="58"/>
      <c r="H34" s="58"/>
      <c r="I34" s="58"/>
      <c r="J34" s="58"/>
    </row>
    <row r="35" spans="1:10">
      <c r="C35" t="s">
        <v>11</v>
      </c>
      <c r="D35">
        <f>D24+C30+C31</f>
        <v>-400.00000000000045</v>
      </c>
      <c r="E35" t="str">
        <f>IF(D35&gt;0,"F","U")</f>
        <v>U</v>
      </c>
    </row>
  </sheetData>
  <mergeCells count="16">
    <mergeCell ref="F30:J30"/>
    <mergeCell ref="F31:J31"/>
    <mergeCell ref="F33:J33"/>
    <mergeCell ref="A19:B20"/>
    <mergeCell ref="F19:J19"/>
    <mergeCell ref="F20:J20"/>
    <mergeCell ref="A22:B22"/>
    <mergeCell ref="F22:J24"/>
    <mergeCell ref="A26:B26"/>
    <mergeCell ref="F26:K28"/>
    <mergeCell ref="A1:J1"/>
    <mergeCell ref="A3:A6"/>
    <mergeCell ref="I7:K8"/>
    <mergeCell ref="A8:A11"/>
    <mergeCell ref="A13:A16"/>
    <mergeCell ref="A18:J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DBA8-5EB5-4D6F-8EF1-4BF7555D3404}">
  <dimension ref="A1:I51"/>
  <sheetViews>
    <sheetView topLeftCell="A5" zoomScale="55" zoomScaleNormal="55" workbookViewId="0">
      <selection activeCell="N42" sqref="N42"/>
    </sheetView>
  </sheetViews>
  <sheetFormatPr baseColWidth="10" defaultColWidth="8.796875" defaultRowHeight="13.8"/>
  <cols>
    <col min="1" max="1" width="12.69921875" customWidth="1"/>
    <col min="2" max="2" width="18.19921875" bestFit="1" customWidth="1"/>
    <col min="3" max="4" width="9.69921875" bestFit="1" customWidth="1"/>
    <col min="5" max="6" width="10.19921875" bestFit="1" customWidth="1"/>
    <col min="8" max="8" width="5.296875" bestFit="1" customWidth="1"/>
    <col min="9" max="9" width="21.296875" customWidth="1"/>
    <col min="10" max="10" width="5.5" bestFit="1" customWidth="1"/>
    <col min="11" max="11" width="14.296875" bestFit="1" customWidth="1"/>
    <col min="12" max="13" width="6.69921875" bestFit="1" customWidth="1"/>
  </cols>
  <sheetData>
    <row r="1" spans="1:9">
      <c r="A1" s="1"/>
      <c r="B1" s="1"/>
      <c r="C1" s="1" t="s">
        <v>13</v>
      </c>
      <c r="D1" s="1" t="s">
        <v>25</v>
      </c>
      <c r="E1" s="1" t="s">
        <v>26</v>
      </c>
      <c r="F1" s="1" t="s">
        <v>27</v>
      </c>
      <c r="H1" s="328" t="s">
        <v>170</v>
      </c>
      <c r="I1" s="328"/>
    </row>
    <row r="2" spans="1:9">
      <c r="A2" s="327" t="s">
        <v>24</v>
      </c>
      <c r="B2" s="1" t="s">
        <v>74</v>
      </c>
      <c r="C2" s="42">
        <v>1000</v>
      </c>
      <c r="D2" s="42">
        <v>1200</v>
      </c>
      <c r="E2" s="42">
        <v>1400</v>
      </c>
      <c r="F2" s="42">
        <v>1600</v>
      </c>
      <c r="H2" s="1"/>
      <c r="I2" s="1"/>
    </row>
    <row r="3" spans="1:9">
      <c r="A3" s="327"/>
      <c r="B3" s="1" t="s">
        <v>75</v>
      </c>
      <c r="C3" s="1">
        <f>H4*C2</f>
        <v>100</v>
      </c>
      <c r="D3" s="1">
        <f>C4</f>
        <v>120</v>
      </c>
      <c r="E3" s="1">
        <f>D4</f>
        <v>140</v>
      </c>
      <c r="F3" s="1">
        <f>E4</f>
        <v>160</v>
      </c>
      <c r="H3" s="1"/>
      <c r="I3" s="1"/>
    </row>
    <row r="4" spans="1:9">
      <c r="A4" s="327"/>
      <c r="B4" s="1" t="s">
        <v>76</v>
      </c>
      <c r="C4" s="1">
        <f>D2*$H$4</f>
        <v>120</v>
      </c>
      <c r="D4" s="1">
        <f>E2*$H$4</f>
        <v>140</v>
      </c>
      <c r="E4" s="1">
        <f>F2*$H$4</f>
        <v>160</v>
      </c>
      <c r="F4" s="1">
        <f>G2*$H$4</f>
        <v>0</v>
      </c>
      <c r="H4" s="44">
        <v>0.1</v>
      </c>
      <c r="I4" s="1"/>
    </row>
    <row r="5" spans="1:9">
      <c r="A5" s="327"/>
      <c r="B5" s="1" t="s">
        <v>77</v>
      </c>
      <c r="C5" s="1">
        <f>C2-C3+C4</f>
        <v>1020</v>
      </c>
      <c r="D5" s="1">
        <f>D2-D3+D4</f>
        <v>1220</v>
      </c>
      <c r="E5" s="1">
        <f>E2-E3+E4</f>
        <v>1420</v>
      </c>
      <c r="F5" s="1">
        <f>F2-F3+F4</f>
        <v>1440</v>
      </c>
      <c r="H5" s="1"/>
      <c r="I5" s="1"/>
    </row>
    <row r="6" spans="1:9">
      <c r="A6" s="327" t="s">
        <v>7</v>
      </c>
      <c r="B6" s="1" t="s">
        <v>78</v>
      </c>
      <c r="C6" s="1">
        <f>$H$6*C5</f>
        <v>10200</v>
      </c>
      <c r="D6" s="1">
        <f>$H$6*D5</f>
        <v>12200</v>
      </c>
      <c r="E6" s="1">
        <f>$H$6*E5</f>
        <v>14200</v>
      </c>
      <c r="F6" s="1">
        <f>$H$6*F5</f>
        <v>14400</v>
      </c>
      <c r="H6" s="42">
        <v>10</v>
      </c>
      <c r="I6" s="1" t="s">
        <v>154</v>
      </c>
    </row>
    <row r="7" spans="1:9">
      <c r="A7" s="327"/>
      <c r="B7" s="1" t="s">
        <v>75</v>
      </c>
      <c r="C7" s="1">
        <f>H8*C6</f>
        <v>510</v>
      </c>
      <c r="D7" s="1">
        <f>C8</f>
        <v>610</v>
      </c>
      <c r="E7" s="1">
        <f>D8</f>
        <v>710</v>
      </c>
      <c r="F7" s="1">
        <f>E8</f>
        <v>720</v>
      </c>
      <c r="H7" s="1"/>
      <c r="I7" s="1"/>
    </row>
    <row r="8" spans="1:9">
      <c r="A8" s="327"/>
      <c r="B8" s="1" t="s">
        <v>76</v>
      </c>
      <c r="C8" s="1">
        <f>$H$8*D6</f>
        <v>610</v>
      </c>
      <c r="D8" s="1">
        <f>$H$8*E6</f>
        <v>710</v>
      </c>
      <c r="E8" s="1">
        <f>$H$8*F6</f>
        <v>720</v>
      </c>
      <c r="F8" s="1">
        <f>$H$8*G6</f>
        <v>0</v>
      </c>
      <c r="H8" s="44">
        <v>0.05</v>
      </c>
      <c r="I8" s="1"/>
    </row>
    <row r="9" spans="1:9">
      <c r="A9" s="327"/>
      <c r="B9" s="1" t="s">
        <v>79</v>
      </c>
      <c r="C9" s="1">
        <f>C6-C7+C8</f>
        <v>10300</v>
      </c>
      <c r="D9" s="1">
        <f>D6-D7+D8</f>
        <v>12300</v>
      </c>
      <c r="E9" s="1">
        <f>E6-E7+E8</f>
        <v>14210</v>
      </c>
      <c r="F9" s="1">
        <f>F6-F7+F8</f>
        <v>13680</v>
      </c>
      <c r="H9" s="1"/>
      <c r="I9" s="1"/>
    </row>
    <row r="10" spans="1:9">
      <c r="A10" s="327" t="s">
        <v>21</v>
      </c>
      <c r="B10" s="1" t="s">
        <v>81</v>
      </c>
      <c r="C10" s="42">
        <v>2</v>
      </c>
      <c r="D10" s="42">
        <v>2</v>
      </c>
      <c r="E10" s="42">
        <v>2</v>
      </c>
      <c r="F10" s="42">
        <v>2</v>
      </c>
      <c r="H10" s="1"/>
      <c r="I10" s="1"/>
    </row>
    <row r="11" spans="1:9">
      <c r="A11" s="327"/>
      <c r="B11" s="1" t="s">
        <v>80</v>
      </c>
      <c r="C11" s="42">
        <v>50</v>
      </c>
      <c r="D11" s="42">
        <v>50</v>
      </c>
      <c r="E11" s="42">
        <v>50</v>
      </c>
      <c r="F11" s="42">
        <v>50</v>
      </c>
      <c r="H11" s="1"/>
      <c r="I11" s="1"/>
    </row>
    <row r="12" spans="1:9">
      <c r="B12" s="26"/>
      <c r="H12" s="1"/>
      <c r="I12" s="1"/>
    </row>
    <row r="13" spans="1:9">
      <c r="A13" s="327" t="s">
        <v>48</v>
      </c>
      <c r="B13" s="1" t="s">
        <v>8</v>
      </c>
      <c r="C13" s="4">
        <f>$C$14*$C$15*C5</f>
        <v>20400</v>
      </c>
      <c r="D13" s="4">
        <f>$C$14*$C$15*D5</f>
        <v>24400</v>
      </c>
      <c r="E13" s="4">
        <f>$C$14*$C$15*E5</f>
        <v>28400</v>
      </c>
      <c r="F13" s="4">
        <f>$C$14*$C$15*F5</f>
        <v>28800</v>
      </c>
      <c r="H13" s="1"/>
      <c r="I13" s="1"/>
    </row>
    <row r="14" spans="1:9">
      <c r="A14" s="327"/>
      <c r="B14" s="30" t="s">
        <v>12</v>
      </c>
      <c r="C14" s="329">
        <v>2</v>
      </c>
      <c r="D14" s="329"/>
      <c r="E14" s="329"/>
      <c r="F14" s="329"/>
      <c r="H14" s="1"/>
      <c r="I14" s="1"/>
    </row>
    <row r="15" spans="1:9">
      <c r="A15" s="327"/>
      <c r="B15" s="30" t="s">
        <v>16</v>
      </c>
      <c r="C15" s="329">
        <v>10</v>
      </c>
      <c r="D15" s="329"/>
      <c r="E15" s="329"/>
      <c r="F15" s="329"/>
      <c r="H15" s="1"/>
      <c r="I15" s="1"/>
    </row>
    <row r="16" spans="1:9">
      <c r="A16" s="327"/>
      <c r="B16" s="22" t="s">
        <v>82</v>
      </c>
      <c r="C16" s="19"/>
      <c r="D16" s="19"/>
      <c r="E16" s="19"/>
      <c r="F16" s="19"/>
      <c r="H16" s="1"/>
      <c r="I16" s="1"/>
    </row>
    <row r="17" spans="1:9">
      <c r="H17" s="1"/>
      <c r="I17" s="1"/>
    </row>
    <row r="18" spans="1:9">
      <c r="A18" s="327" t="s">
        <v>87</v>
      </c>
      <c r="B18" s="23" t="s">
        <v>7</v>
      </c>
      <c r="C18" s="23">
        <f>C9*C10</f>
        <v>20600</v>
      </c>
      <c r="D18" s="23">
        <f>D9*D10</f>
        <v>24600</v>
      </c>
      <c r="E18" s="23">
        <f>E9*E10</f>
        <v>28420</v>
      </c>
      <c r="F18" s="23">
        <f>F9*F10</f>
        <v>27360</v>
      </c>
      <c r="H18" s="50"/>
      <c r="I18" s="1"/>
    </row>
    <row r="19" spans="1:9">
      <c r="A19" s="327"/>
      <c r="B19" s="23" t="s">
        <v>8</v>
      </c>
      <c r="C19" s="24">
        <f>C13</f>
        <v>20400</v>
      </c>
      <c r="D19" s="24">
        <f>D13</f>
        <v>24400</v>
      </c>
      <c r="E19" s="24">
        <f t="shared" ref="E19:F19" si="0">E13</f>
        <v>28400</v>
      </c>
      <c r="F19" s="24">
        <f t="shared" si="0"/>
        <v>28800</v>
      </c>
      <c r="H19" s="1"/>
      <c r="I19" s="1"/>
    </row>
    <row r="20" spans="1:9">
      <c r="A20" s="327"/>
      <c r="B20" s="23" t="s">
        <v>88</v>
      </c>
      <c r="C20" s="24">
        <f>C16</f>
        <v>0</v>
      </c>
      <c r="D20" s="24">
        <f>D16</f>
        <v>0</v>
      </c>
      <c r="E20" s="24">
        <f t="shared" ref="E20:F20" si="1">E16</f>
        <v>0</v>
      </c>
      <c r="F20" s="24">
        <f t="shared" si="1"/>
        <v>0</v>
      </c>
      <c r="H20" s="1"/>
      <c r="I20" s="1"/>
    </row>
    <row r="21" spans="1:9">
      <c r="A21" s="327"/>
      <c r="B21" s="23" t="s">
        <v>11</v>
      </c>
      <c r="C21" s="23">
        <f>SUM(C18:C20)</f>
        <v>41000</v>
      </c>
      <c r="D21" s="23">
        <f>SUM(D18:D20)</f>
        <v>49000</v>
      </c>
      <c r="E21" s="23">
        <f t="shared" ref="E21:F21" si="2">SUM(E18:E20)</f>
        <v>56820</v>
      </c>
      <c r="F21" s="23">
        <f t="shared" si="2"/>
        <v>56160</v>
      </c>
      <c r="H21" s="1"/>
      <c r="I21" s="1"/>
    </row>
    <row r="22" spans="1:9">
      <c r="A22" s="327"/>
      <c r="B22" s="23" t="s">
        <v>89</v>
      </c>
      <c r="C22" s="27">
        <f>C21/C5</f>
        <v>40.196078431372548</v>
      </c>
      <c r="D22" s="27">
        <f>D21/D5</f>
        <v>40.16393442622951</v>
      </c>
      <c r="E22" s="27">
        <f t="shared" ref="E22:F22" si="3">E21/E5</f>
        <v>40.014084507042256</v>
      </c>
      <c r="F22" s="27">
        <f t="shared" si="3"/>
        <v>39</v>
      </c>
      <c r="H22" s="1"/>
      <c r="I22" s="1"/>
    </row>
    <row r="23" spans="1:9">
      <c r="A23" s="25"/>
      <c r="B23" s="26"/>
      <c r="C23" s="26"/>
      <c r="D23" s="26"/>
      <c r="E23" s="26"/>
      <c r="F23" s="26"/>
      <c r="H23" s="1"/>
      <c r="I23" s="1"/>
    </row>
    <row r="24" spans="1:9">
      <c r="A24" s="327" t="s">
        <v>86</v>
      </c>
      <c r="B24" s="23" t="s">
        <v>87</v>
      </c>
      <c r="C24" s="23">
        <f>C21</f>
        <v>41000</v>
      </c>
      <c r="D24" s="23">
        <f>D21</f>
        <v>49000</v>
      </c>
      <c r="E24" s="23">
        <f t="shared" ref="E24:F24" si="4">E21</f>
        <v>56820</v>
      </c>
      <c r="F24" s="23">
        <f t="shared" si="4"/>
        <v>56160</v>
      </c>
      <c r="H24" s="1"/>
      <c r="I24" s="1"/>
    </row>
    <row r="25" spans="1:9">
      <c r="A25" s="327"/>
      <c r="B25" s="23" t="s">
        <v>17</v>
      </c>
      <c r="C25" s="43">
        <v>0</v>
      </c>
      <c r="D25" s="41">
        <f>C22*D3</f>
        <v>4823.5294117647054</v>
      </c>
      <c r="E25" s="41">
        <f>D22*E3</f>
        <v>5622.9508196721317</v>
      </c>
      <c r="F25" s="41">
        <f t="shared" ref="F25" si="5">E22*F3</f>
        <v>6402.2535211267605</v>
      </c>
      <c r="H25" s="1"/>
      <c r="I25" s="1"/>
    </row>
    <row r="26" spans="1:9">
      <c r="A26" s="327"/>
      <c r="B26" s="23" t="s">
        <v>18</v>
      </c>
      <c r="C26" s="41">
        <f>C8*C22</f>
        <v>24519.607843137255</v>
      </c>
      <c r="D26" s="41">
        <f>D22*D4</f>
        <v>5622.9508196721317</v>
      </c>
      <c r="E26" s="41">
        <f>E22*E4</f>
        <v>6402.2535211267605</v>
      </c>
      <c r="F26" s="43">
        <f>F22*F4</f>
        <v>0</v>
      </c>
      <c r="H26" s="1"/>
      <c r="I26" s="1"/>
    </row>
    <row r="27" spans="1:9">
      <c r="A27" s="327"/>
      <c r="B27" s="23" t="s">
        <v>86</v>
      </c>
      <c r="C27" s="41">
        <f>C24+C25-C26</f>
        <v>16480.392156862745</v>
      </c>
      <c r="D27" s="41">
        <f>D24+D25-D26</f>
        <v>48200.578592092577</v>
      </c>
      <c r="E27" s="41">
        <f t="shared" ref="E27:F27" si="6">E24+E25-E26</f>
        <v>56040.697298545369</v>
      </c>
      <c r="F27" s="41">
        <f t="shared" si="6"/>
        <v>62562.25352112676</v>
      </c>
      <c r="H27" s="1"/>
      <c r="I27" s="1"/>
    </row>
    <row r="28" spans="1:9">
      <c r="A28" s="25"/>
      <c r="B28" s="26"/>
      <c r="C28" s="26"/>
      <c r="D28" s="26"/>
      <c r="E28" s="26"/>
      <c r="F28" s="26"/>
      <c r="H28" s="1"/>
      <c r="I28" s="1"/>
    </row>
    <row r="29" spans="1:9">
      <c r="A29" s="327" t="s">
        <v>0</v>
      </c>
      <c r="B29" s="6" t="s">
        <v>5</v>
      </c>
      <c r="C29" s="9">
        <f t="shared" ref="C29:F31" si="7">C$2*C$11*$H29</f>
        <v>50000</v>
      </c>
      <c r="D29" s="39">
        <f t="shared" si="7"/>
        <v>60000</v>
      </c>
      <c r="E29" s="39">
        <f t="shared" si="7"/>
        <v>70000</v>
      </c>
      <c r="F29" s="39">
        <f t="shared" si="7"/>
        <v>80000</v>
      </c>
      <c r="H29" s="44">
        <v>1</v>
      </c>
      <c r="I29" s="1"/>
    </row>
    <row r="30" spans="1:9">
      <c r="A30" s="327"/>
      <c r="B30" s="327" t="s">
        <v>22</v>
      </c>
      <c r="C30" s="39">
        <f t="shared" si="7"/>
        <v>0</v>
      </c>
      <c r="D30" s="39">
        <f t="shared" si="7"/>
        <v>0</v>
      </c>
      <c r="E30" s="39">
        <f t="shared" si="7"/>
        <v>0</v>
      </c>
      <c r="F30" s="39">
        <f t="shared" si="7"/>
        <v>0</v>
      </c>
      <c r="H30" s="44">
        <v>0</v>
      </c>
      <c r="I30" s="1" t="s">
        <v>84</v>
      </c>
    </row>
    <row r="31" spans="1:9">
      <c r="A31" s="327"/>
      <c r="B31" s="327"/>
      <c r="C31" s="39">
        <f t="shared" si="7"/>
        <v>0</v>
      </c>
      <c r="D31" s="39">
        <f t="shared" si="7"/>
        <v>0</v>
      </c>
      <c r="E31" s="39">
        <f t="shared" si="7"/>
        <v>0</v>
      </c>
      <c r="F31" s="39">
        <f t="shared" si="7"/>
        <v>0</v>
      </c>
      <c r="H31" s="44">
        <v>0</v>
      </c>
      <c r="I31" s="1" t="s">
        <v>85</v>
      </c>
    </row>
    <row r="32" spans="1:9">
      <c r="A32" s="327" t="s">
        <v>14</v>
      </c>
      <c r="B32" s="6" t="s">
        <v>5</v>
      </c>
      <c r="C32" s="9">
        <f t="shared" ref="C32:F34" si="8">C$9*C$10*$H32</f>
        <v>20600</v>
      </c>
      <c r="D32" s="39">
        <f t="shared" si="8"/>
        <v>24600</v>
      </c>
      <c r="E32" s="39">
        <f t="shared" si="8"/>
        <v>28420</v>
      </c>
      <c r="F32" s="39">
        <f t="shared" si="8"/>
        <v>27360</v>
      </c>
      <c r="H32" s="44">
        <v>1</v>
      </c>
      <c r="I32" s="1"/>
    </row>
    <row r="33" spans="1:9">
      <c r="A33" s="327"/>
      <c r="B33" s="327" t="s">
        <v>22</v>
      </c>
      <c r="C33" s="39">
        <f t="shared" si="8"/>
        <v>0</v>
      </c>
      <c r="D33" s="39">
        <f t="shared" si="8"/>
        <v>0</v>
      </c>
      <c r="E33" s="39">
        <f t="shared" si="8"/>
        <v>0</v>
      </c>
      <c r="F33" s="39">
        <f t="shared" si="8"/>
        <v>0</v>
      </c>
      <c r="H33" s="44">
        <v>0</v>
      </c>
      <c r="I33" s="1" t="s">
        <v>84</v>
      </c>
    </row>
    <row r="34" spans="1:9">
      <c r="A34" s="327"/>
      <c r="B34" s="327"/>
      <c r="C34" s="39">
        <f t="shared" si="8"/>
        <v>0</v>
      </c>
      <c r="D34" s="39">
        <f t="shared" si="8"/>
        <v>0</v>
      </c>
      <c r="E34" s="39">
        <f t="shared" si="8"/>
        <v>0</v>
      </c>
      <c r="F34" s="39">
        <f t="shared" si="8"/>
        <v>0</v>
      </c>
      <c r="H34" s="44">
        <v>0</v>
      </c>
      <c r="I34" s="1" t="s">
        <v>85</v>
      </c>
    </row>
    <row r="35" spans="1:9">
      <c r="H35" s="1"/>
      <c r="I35" s="1"/>
    </row>
    <row r="36" spans="1:9">
      <c r="A36" s="333" t="s">
        <v>4</v>
      </c>
      <c r="B36" s="23" t="s">
        <v>0</v>
      </c>
      <c r="C36" s="23">
        <f>C2*C11</f>
        <v>50000</v>
      </c>
      <c r="D36" s="23">
        <f>D2*D11</f>
        <v>60000</v>
      </c>
      <c r="E36" s="23">
        <f>E2*E11</f>
        <v>70000</v>
      </c>
      <c r="F36" s="23">
        <f>F2*F11</f>
        <v>80000</v>
      </c>
      <c r="H36" s="1"/>
      <c r="I36" s="1"/>
    </row>
    <row r="37" spans="1:9">
      <c r="A37" s="334"/>
      <c r="B37" s="23" t="s">
        <v>86</v>
      </c>
      <c r="C37" s="41">
        <f>C27</f>
        <v>16480.392156862745</v>
      </c>
      <c r="D37" s="41">
        <f>D27</f>
        <v>48200.578592092577</v>
      </c>
      <c r="E37" s="41">
        <f>E27</f>
        <v>56040.697298545369</v>
      </c>
      <c r="F37" s="41">
        <f>F27</f>
        <v>62562.25352112676</v>
      </c>
      <c r="H37" s="1"/>
      <c r="I37" s="1"/>
    </row>
    <row r="38" spans="1:9">
      <c r="A38" s="335"/>
      <c r="B38" s="23" t="s">
        <v>90</v>
      </c>
      <c r="C38" s="41">
        <f>C36-C37</f>
        <v>33519.607843137259</v>
      </c>
      <c r="D38" s="41">
        <f>D36-D37</f>
        <v>11799.421407907423</v>
      </c>
      <c r="E38" s="41">
        <f t="shared" ref="E38:F38" si="9">E36-E37</f>
        <v>13959.302701454631</v>
      </c>
      <c r="F38" s="41">
        <f t="shared" si="9"/>
        <v>17437.74647887324</v>
      </c>
      <c r="H38" s="1"/>
      <c r="I38" s="1"/>
    </row>
    <row r="40" spans="1:9">
      <c r="A40" s="316" t="s">
        <v>92</v>
      </c>
      <c r="B40" s="317"/>
      <c r="C40" s="317"/>
      <c r="D40" s="317"/>
      <c r="E40" s="317"/>
      <c r="F40" s="317"/>
    </row>
    <row r="41" spans="1:9">
      <c r="A41" s="328" t="s">
        <v>91</v>
      </c>
      <c r="B41" s="328"/>
      <c r="C41" s="19">
        <v>10000</v>
      </c>
      <c r="D41" s="7">
        <f>C51</f>
        <v>19000</v>
      </c>
      <c r="E41" s="7">
        <f t="shared" ref="E41:F41" si="10">D51</f>
        <v>30000</v>
      </c>
      <c r="F41" s="7">
        <f t="shared" si="10"/>
        <v>43180</v>
      </c>
    </row>
    <row r="42" spans="1:9">
      <c r="A42" s="330" t="s">
        <v>29</v>
      </c>
      <c r="B42" s="21" t="s">
        <v>94</v>
      </c>
      <c r="C42" s="7">
        <f>C29</f>
        <v>50000</v>
      </c>
      <c r="D42" s="7">
        <f>D29</f>
        <v>60000</v>
      </c>
      <c r="E42" s="7">
        <f>E29</f>
        <v>70000</v>
      </c>
      <c r="F42" s="7">
        <f>F29</f>
        <v>80000</v>
      </c>
    </row>
    <row r="43" spans="1:9">
      <c r="A43" s="331"/>
      <c r="B43" s="21" t="s">
        <v>95</v>
      </c>
      <c r="C43" s="1"/>
      <c r="D43" s="7">
        <f>C30</f>
        <v>0</v>
      </c>
      <c r="E43" s="7">
        <f>D30+C31</f>
        <v>0</v>
      </c>
      <c r="F43" s="7">
        <f>E30+D31</f>
        <v>0</v>
      </c>
    </row>
    <row r="44" spans="1:9">
      <c r="A44" s="332"/>
      <c r="B44" s="28" t="s">
        <v>11</v>
      </c>
      <c r="C44" s="12">
        <f>SUM(C42:C43)</f>
        <v>50000</v>
      </c>
      <c r="D44" s="12">
        <f>SUM(D42:D43)</f>
        <v>60000</v>
      </c>
      <c r="E44" s="12">
        <f t="shared" ref="E44:F44" si="11">SUM(E42:E43)</f>
        <v>70000</v>
      </c>
      <c r="F44" s="12">
        <f t="shared" si="11"/>
        <v>80000</v>
      </c>
    </row>
    <row r="45" spans="1:9">
      <c r="A45" s="333" t="s">
        <v>30</v>
      </c>
      <c r="B45" s="21" t="s">
        <v>96</v>
      </c>
      <c r="C45" s="7">
        <f>C32</f>
        <v>20600</v>
      </c>
      <c r="D45" s="7">
        <f>D32</f>
        <v>24600</v>
      </c>
      <c r="E45" s="7">
        <f t="shared" ref="E45:F45" si="12">E32</f>
        <v>28420</v>
      </c>
      <c r="F45" s="7">
        <f t="shared" si="12"/>
        <v>27360</v>
      </c>
    </row>
    <row r="46" spans="1:9">
      <c r="A46" s="334"/>
      <c r="B46" s="21" t="s">
        <v>97</v>
      </c>
      <c r="C46" s="1"/>
      <c r="D46" s="7">
        <f>C33</f>
        <v>0</v>
      </c>
      <c r="E46" s="7">
        <f>D33+C34</f>
        <v>0</v>
      </c>
      <c r="F46" s="7">
        <f>E33+D34</f>
        <v>0</v>
      </c>
    </row>
    <row r="47" spans="1:9">
      <c r="A47" s="334"/>
      <c r="B47" s="21" t="s">
        <v>8</v>
      </c>
      <c r="C47" s="7">
        <f>C13</f>
        <v>20400</v>
      </c>
      <c r="D47" s="7">
        <f>D13</f>
        <v>24400</v>
      </c>
      <c r="E47" s="7">
        <f t="shared" ref="E47:F47" si="13">E13</f>
        <v>28400</v>
      </c>
      <c r="F47" s="7">
        <f t="shared" si="13"/>
        <v>28800</v>
      </c>
    </row>
    <row r="48" spans="1:9">
      <c r="A48" s="334"/>
      <c r="B48" s="21" t="s">
        <v>98</v>
      </c>
      <c r="C48" s="7">
        <f>C16</f>
        <v>0</v>
      </c>
      <c r="D48" s="7">
        <f>D16</f>
        <v>0</v>
      </c>
      <c r="E48" s="7">
        <f t="shared" ref="E48:F48" si="14">E16</f>
        <v>0</v>
      </c>
      <c r="F48" s="7">
        <f t="shared" si="14"/>
        <v>0</v>
      </c>
    </row>
    <row r="49" spans="1:6">
      <c r="A49" s="335"/>
      <c r="B49" s="28" t="s">
        <v>11</v>
      </c>
      <c r="C49" s="12">
        <f>SUM(C45:C48)</f>
        <v>41000</v>
      </c>
      <c r="D49" s="12">
        <f>SUM(D45:D48)</f>
        <v>49000</v>
      </c>
      <c r="E49" s="12">
        <f>SUM(E45:E48)</f>
        <v>56820</v>
      </c>
      <c r="F49" s="12">
        <f>SUM(F45:F48)</f>
        <v>56160</v>
      </c>
    </row>
    <row r="50" spans="1:6">
      <c r="A50" s="336" t="s">
        <v>31</v>
      </c>
      <c r="B50" s="337"/>
      <c r="C50" s="14">
        <f>C44-C49</f>
        <v>9000</v>
      </c>
      <c r="D50" s="14">
        <f>D44-D49</f>
        <v>11000</v>
      </c>
      <c r="E50" s="14">
        <f>E44-E49</f>
        <v>13180</v>
      </c>
      <c r="F50" s="14">
        <f>F44-F49</f>
        <v>23840</v>
      </c>
    </row>
    <row r="51" spans="1:6">
      <c r="A51" s="328" t="s">
        <v>93</v>
      </c>
      <c r="B51" s="328"/>
      <c r="C51" s="7">
        <f>C41+C44-C49</f>
        <v>19000</v>
      </c>
      <c r="D51" s="7">
        <f>D41+D44-D49</f>
        <v>30000</v>
      </c>
      <c r="E51" s="7">
        <f>E41+E44-E49</f>
        <v>43180</v>
      </c>
      <c r="F51" s="7">
        <f>F41+F44-F49</f>
        <v>67020</v>
      </c>
    </row>
  </sheetData>
  <mergeCells count="20">
    <mergeCell ref="A40:F40"/>
    <mergeCell ref="A18:A22"/>
    <mergeCell ref="A24:A27"/>
    <mergeCell ref="A51:B51"/>
    <mergeCell ref="A42:A44"/>
    <mergeCell ref="A45:A49"/>
    <mergeCell ref="A41:B41"/>
    <mergeCell ref="A50:B50"/>
    <mergeCell ref="B30:B31"/>
    <mergeCell ref="B33:B34"/>
    <mergeCell ref="A32:A34"/>
    <mergeCell ref="A36:A38"/>
    <mergeCell ref="A29:A31"/>
    <mergeCell ref="H1:I1"/>
    <mergeCell ref="A13:A16"/>
    <mergeCell ref="C14:F14"/>
    <mergeCell ref="C15:F15"/>
    <mergeCell ref="A2:A5"/>
    <mergeCell ref="A10:A11"/>
    <mergeCell ref="A6:A9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7157C-A8B4-4D0D-AC74-9B20D6590411}">
  <dimension ref="A2:J40"/>
  <sheetViews>
    <sheetView zoomScale="70" zoomScaleNormal="70" workbookViewId="0">
      <selection activeCell="E43" sqref="E43"/>
    </sheetView>
  </sheetViews>
  <sheetFormatPr baseColWidth="10" defaultRowHeight="13.8"/>
  <sheetData>
    <row r="2" spans="1:10">
      <c r="A2" s="1"/>
      <c r="B2" s="1"/>
      <c r="C2" s="1"/>
      <c r="D2" s="293" t="s">
        <v>13</v>
      </c>
      <c r="E2" s="293" t="s">
        <v>25</v>
      </c>
      <c r="F2" s="293" t="s">
        <v>26</v>
      </c>
      <c r="G2" s="293" t="s">
        <v>27</v>
      </c>
      <c r="I2" s="346" t="s">
        <v>170</v>
      </c>
      <c r="J2" s="347"/>
    </row>
    <row r="3" spans="1:10">
      <c r="A3" s="339" t="s">
        <v>7</v>
      </c>
      <c r="B3" s="327" t="s">
        <v>14</v>
      </c>
      <c r="C3" s="1" t="s">
        <v>23</v>
      </c>
      <c r="D3" s="19">
        <v>3000</v>
      </c>
      <c r="E3" s="19">
        <v>3200</v>
      </c>
      <c r="F3" s="19">
        <v>3500</v>
      </c>
      <c r="G3" s="19">
        <v>3500</v>
      </c>
      <c r="I3" s="1"/>
      <c r="J3" s="1"/>
    </row>
    <row r="4" spans="1:10">
      <c r="A4" s="339"/>
      <c r="B4" s="327"/>
      <c r="C4" s="1" t="s">
        <v>16</v>
      </c>
      <c r="D4" s="19">
        <v>11</v>
      </c>
      <c r="E4" s="19">
        <v>13</v>
      </c>
      <c r="F4" s="19">
        <v>14</v>
      </c>
      <c r="G4" s="19">
        <v>14</v>
      </c>
      <c r="I4" s="1"/>
      <c r="J4" s="1"/>
    </row>
    <row r="5" spans="1:10">
      <c r="A5" s="339"/>
      <c r="B5" s="327"/>
      <c r="C5" s="1" t="s">
        <v>14</v>
      </c>
      <c r="D5" s="4">
        <f>D3*D4</f>
        <v>33000</v>
      </c>
      <c r="E5" s="4">
        <f>E3*E4</f>
        <v>41600</v>
      </c>
      <c r="F5" s="4">
        <f>F3*F4</f>
        <v>49000</v>
      </c>
      <c r="G5" s="4">
        <f>G3*G4</f>
        <v>49000</v>
      </c>
      <c r="I5" s="1"/>
      <c r="J5" s="1"/>
    </row>
    <row r="6" spans="1:10">
      <c r="A6" s="339"/>
      <c r="B6" s="327" t="s">
        <v>6</v>
      </c>
      <c r="C6" s="1" t="s">
        <v>244</v>
      </c>
      <c r="D6" s="19">
        <v>10</v>
      </c>
      <c r="E6" s="4">
        <f>D7</f>
        <v>10</v>
      </c>
      <c r="F6" s="4">
        <f>E7</f>
        <v>10</v>
      </c>
      <c r="G6" s="4">
        <f>F7</f>
        <v>30</v>
      </c>
      <c r="I6" s="1"/>
      <c r="J6" s="1"/>
    </row>
    <row r="7" spans="1:10">
      <c r="A7" s="339"/>
      <c r="B7" s="327"/>
      <c r="C7" s="1" t="s">
        <v>243</v>
      </c>
      <c r="D7" s="4">
        <f>D3-D8+D6</f>
        <v>10</v>
      </c>
      <c r="E7" s="4">
        <f>E3-E8+E6</f>
        <v>10</v>
      </c>
      <c r="F7" s="4">
        <f t="shared" ref="F7:G7" si="0">F3-F8+F6</f>
        <v>30</v>
      </c>
      <c r="G7" s="4">
        <f t="shared" si="0"/>
        <v>10</v>
      </c>
      <c r="I7" s="1"/>
      <c r="J7" s="1"/>
    </row>
    <row r="8" spans="1:10">
      <c r="A8" s="339"/>
      <c r="B8" s="327" t="s">
        <v>24</v>
      </c>
      <c r="C8" s="216" t="s">
        <v>69</v>
      </c>
      <c r="D8" s="218">
        <f>INT((D6+D3)/D9)*D9</f>
        <v>3000</v>
      </c>
      <c r="E8" s="218">
        <f>INT((E6+E3)/D9)*D9</f>
        <v>3200</v>
      </c>
      <c r="F8" s="218">
        <f>INT((F6+F3)/D9)*D9</f>
        <v>3480</v>
      </c>
      <c r="G8" s="218">
        <f>INT((G6+G3)/D9)*D9</f>
        <v>3520</v>
      </c>
      <c r="I8" s="1"/>
      <c r="J8" s="1"/>
    </row>
    <row r="9" spans="1:10">
      <c r="A9" s="339"/>
      <c r="B9" s="327"/>
      <c r="C9" s="1" t="s">
        <v>12</v>
      </c>
      <c r="D9" s="348">
        <f>I9</f>
        <v>40</v>
      </c>
      <c r="E9" s="348"/>
      <c r="F9" s="348"/>
      <c r="G9" s="348"/>
      <c r="I9" s="42">
        <v>40</v>
      </c>
      <c r="J9" s="1" t="s">
        <v>12</v>
      </c>
    </row>
    <row r="10" spans="1:10">
      <c r="A10" s="339" t="s">
        <v>240</v>
      </c>
      <c r="B10" s="327" t="s">
        <v>24</v>
      </c>
      <c r="C10" s="219" t="s">
        <v>19</v>
      </c>
      <c r="D10" s="220">
        <f>INT(D8/$D$9)</f>
        <v>75</v>
      </c>
      <c r="E10" s="220">
        <f>INT(E8/$D$9)</f>
        <v>80</v>
      </c>
      <c r="F10" s="220">
        <f>INT(F8/$D$9)</f>
        <v>87</v>
      </c>
      <c r="G10" s="220">
        <f>INT(G8/$D$9)</f>
        <v>88</v>
      </c>
      <c r="I10" s="1"/>
      <c r="J10" s="1"/>
    </row>
    <row r="11" spans="1:10">
      <c r="A11" s="339"/>
      <c r="B11" s="327"/>
      <c r="C11" s="1" t="s">
        <v>245</v>
      </c>
      <c r="D11" s="19">
        <v>8</v>
      </c>
      <c r="E11" s="4">
        <f>D12</f>
        <v>5</v>
      </c>
      <c r="F11" s="4">
        <f>E12</f>
        <v>5</v>
      </c>
      <c r="G11" s="4">
        <f>F12</f>
        <v>5</v>
      </c>
      <c r="I11" s="1"/>
      <c r="J11" s="1"/>
    </row>
    <row r="12" spans="1:10">
      <c r="A12" s="339"/>
      <c r="B12" s="327"/>
      <c r="C12" s="1" t="s">
        <v>242</v>
      </c>
      <c r="D12" s="19">
        <f>$I$12</f>
        <v>5</v>
      </c>
      <c r="E12" s="206">
        <f t="shared" ref="E12:G12" si="1">$I$12</f>
        <v>5</v>
      </c>
      <c r="F12" s="206">
        <f t="shared" si="1"/>
        <v>5</v>
      </c>
      <c r="G12" s="206">
        <f t="shared" si="1"/>
        <v>5</v>
      </c>
      <c r="I12" s="42">
        <v>5</v>
      </c>
      <c r="J12" s="1" t="s">
        <v>246</v>
      </c>
    </row>
    <row r="13" spans="1:10">
      <c r="A13" s="339"/>
      <c r="B13" s="327" t="s">
        <v>0</v>
      </c>
      <c r="C13" s="1" t="s">
        <v>15</v>
      </c>
      <c r="D13" s="4">
        <f>D10+D11-D12</f>
        <v>78</v>
      </c>
      <c r="E13" s="4">
        <f>E10+E11-E12</f>
        <v>80</v>
      </c>
      <c r="F13" s="4">
        <f>F10+F11-F12</f>
        <v>87</v>
      </c>
      <c r="G13" s="4">
        <f>G10+G11-G12</f>
        <v>88</v>
      </c>
      <c r="I13" s="1"/>
      <c r="J13" s="1"/>
    </row>
    <row r="14" spans="1:10">
      <c r="A14" s="339"/>
      <c r="B14" s="327"/>
      <c r="C14" s="1" t="s">
        <v>16</v>
      </c>
      <c r="D14" s="341">
        <f>I14</f>
        <v>1000</v>
      </c>
      <c r="E14" s="341"/>
      <c r="F14" s="341"/>
      <c r="G14" s="341"/>
      <c r="I14" s="42">
        <v>1000</v>
      </c>
      <c r="J14" s="1" t="s">
        <v>247</v>
      </c>
    </row>
    <row r="15" spans="1:10">
      <c r="A15" s="339"/>
      <c r="B15" s="327"/>
      <c r="C15" s="221" t="s">
        <v>0</v>
      </c>
      <c r="D15" s="222">
        <f>$D$14*D13</f>
        <v>78000</v>
      </c>
      <c r="E15" s="222">
        <f>$D$14*E13</f>
        <v>80000</v>
      </c>
      <c r="F15" s="222">
        <f>$D$14*F13</f>
        <v>87000</v>
      </c>
      <c r="G15" s="222">
        <f>$D$14*G13</f>
        <v>88000</v>
      </c>
      <c r="I15" s="53">
        <v>2</v>
      </c>
      <c r="J15" s="3" t="s">
        <v>68</v>
      </c>
    </row>
    <row r="16" spans="1:10">
      <c r="A16" s="342" t="s">
        <v>241</v>
      </c>
      <c r="B16" s="333" t="s">
        <v>6</v>
      </c>
      <c r="C16" s="1" t="s">
        <v>20</v>
      </c>
      <c r="D16" s="345">
        <f>I16</f>
        <v>6</v>
      </c>
      <c r="E16" s="345"/>
      <c r="F16" s="345"/>
      <c r="G16" s="345"/>
      <c r="I16" s="42">
        <v>6</v>
      </c>
      <c r="J16" s="1" t="s">
        <v>12</v>
      </c>
    </row>
    <row r="17" spans="1:10">
      <c r="A17" s="343"/>
      <c r="B17" s="334"/>
      <c r="C17" s="1" t="s">
        <v>15</v>
      </c>
      <c r="D17" s="4">
        <f>$D$16*D10</f>
        <v>450</v>
      </c>
      <c r="E17" s="4">
        <f>$D$16*E10</f>
        <v>480</v>
      </c>
      <c r="F17" s="4">
        <f>$D$16*F10</f>
        <v>522</v>
      </c>
      <c r="G17" s="4">
        <f>$D$16*G10</f>
        <v>528</v>
      </c>
      <c r="I17" s="1"/>
      <c r="J17" s="1"/>
    </row>
    <row r="18" spans="1:10">
      <c r="A18" s="343"/>
      <c r="B18" s="334"/>
      <c r="C18" s="1" t="s">
        <v>17</v>
      </c>
      <c r="D18" s="19">
        <v>9</v>
      </c>
      <c r="E18" s="4">
        <f>D19</f>
        <v>58</v>
      </c>
      <c r="F18" s="4">
        <f>E19</f>
        <v>63</v>
      </c>
      <c r="G18" s="4">
        <f>F19</f>
        <v>64</v>
      </c>
      <c r="I18" s="1"/>
      <c r="J18" s="1"/>
    </row>
    <row r="19" spans="1:10">
      <c r="A19" s="343"/>
      <c r="B19" s="335"/>
      <c r="C19" s="1" t="s">
        <v>18</v>
      </c>
      <c r="D19" s="20">
        <f>ROUNDUP(($I$19*E17),0)</f>
        <v>58</v>
      </c>
      <c r="E19" s="20">
        <f>ROUNDUP(($I$19*F17),0)</f>
        <v>63</v>
      </c>
      <c r="F19" s="20">
        <f>ROUNDUP(($I$19*G17),0)</f>
        <v>64</v>
      </c>
      <c r="G19" s="20">
        <f>ROUNDUP(($I$19*H17),0)</f>
        <v>0</v>
      </c>
      <c r="I19" s="54">
        <v>0.12</v>
      </c>
      <c r="J19" s="3" t="s">
        <v>248</v>
      </c>
    </row>
    <row r="20" spans="1:10">
      <c r="A20" s="343"/>
      <c r="B20" s="333" t="s">
        <v>14</v>
      </c>
      <c r="C20" s="216" t="s">
        <v>28</v>
      </c>
      <c r="D20" s="218">
        <f>D17+D19-D18</f>
        <v>499</v>
      </c>
      <c r="E20" s="218">
        <f>E17+E19-E18</f>
        <v>485</v>
      </c>
      <c r="F20" s="218">
        <f>F17+F19-F18</f>
        <v>523</v>
      </c>
      <c r="G20" s="218">
        <f>G17+G19-G18</f>
        <v>464</v>
      </c>
      <c r="I20" s="1"/>
      <c r="J20" s="1"/>
    </row>
    <row r="21" spans="1:10">
      <c r="A21" s="343"/>
      <c r="B21" s="334"/>
      <c r="C21" s="1" t="s">
        <v>16</v>
      </c>
      <c r="D21" s="341">
        <f>I21</f>
        <v>8</v>
      </c>
      <c r="E21" s="341"/>
      <c r="F21" s="341"/>
      <c r="G21" s="341"/>
      <c r="I21" s="42">
        <v>8</v>
      </c>
      <c r="J21" s="1" t="s">
        <v>249</v>
      </c>
    </row>
    <row r="22" spans="1:10">
      <c r="A22" s="344"/>
      <c r="B22" s="335"/>
      <c r="C22" s="216" t="s">
        <v>11</v>
      </c>
      <c r="D22" s="217">
        <f>$D$21*D20</f>
        <v>3992</v>
      </c>
      <c r="E22" s="217">
        <f>$D$21*E20</f>
        <v>3880</v>
      </c>
      <c r="F22" s="217">
        <f>$D$21*F20</f>
        <v>4184</v>
      </c>
      <c r="G22" s="217">
        <f>$D$21*G20</f>
        <v>3712</v>
      </c>
      <c r="I22" s="1"/>
      <c r="J22" s="1"/>
    </row>
    <row r="23" spans="1:10">
      <c r="I23" s="1"/>
      <c r="J23" s="1"/>
    </row>
    <row r="24" spans="1:10">
      <c r="A24" s="339" t="s">
        <v>8</v>
      </c>
      <c r="B24" s="339"/>
      <c r="C24" s="1" t="s">
        <v>16</v>
      </c>
      <c r="D24" s="329">
        <v>80</v>
      </c>
      <c r="E24" s="329"/>
      <c r="F24" s="329"/>
      <c r="G24" s="329"/>
      <c r="I24" s="1"/>
      <c r="J24" s="1"/>
    </row>
    <row r="25" spans="1:10">
      <c r="A25" s="339"/>
      <c r="B25" s="339"/>
      <c r="C25" s="1" t="s">
        <v>12</v>
      </c>
      <c r="D25" s="329">
        <v>3</v>
      </c>
      <c r="E25" s="329"/>
      <c r="F25" s="329"/>
      <c r="G25" s="329"/>
      <c r="I25" s="1"/>
      <c r="J25" s="1"/>
    </row>
    <row r="26" spans="1:10">
      <c r="A26" s="339"/>
      <c r="B26" s="339"/>
      <c r="C26" s="1" t="s">
        <v>21</v>
      </c>
      <c r="D26" s="7">
        <f>$D$24*$D$25*D10</f>
        <v>18000</v>
      </c>
      <c r="E26" s="1">
        <f>$D$24*$D$25*E10</f>
        <v>19200</v>
      </c>
      <c r="F26" s="1">
        <f>$D$24*$D$25*F10</f>
        <v>20880</v>
      </c>
      <c r="G26" s="1">
        <f>$D$24*$D$25*G10</f>
        <v>21120</v>
      </c>
      <c r="I26" s="53">
        <v>1</v>
      </c>
      <c r="J26" s="3" t="s">
        <v>67</v>
      </c>
    </row>
    <row r="27" spans="1:10">
      <c r="D27" s="2"/>
      <c r="E27" s="2"/>
      <c r="F27" s="2"/>
      <c r="G27" s="2"/>
      <c r="H27" s="2"/>
      <c r="I27" s="1"/>
      <c r="J27" s="1"/>
    </row>
    <row r="28" spans="1:10">
      <c r="A28" s="340" t="s">
        <v>31</v>
      </c>
      <c r="B28" s="340"/>
      <c r="C28" s="302" t="s">
        <v>29</v>
      </c>
      <c r="D28" s="223">
        <f>D29</f>
        <v>31200</v>
      </c>
      <c r="E28" s="223">
        <f>E29</f>
        <v>32000</v>
      </c>
      <c r="F28" s="223">
        <f>F29+F30</f>
        <v>81600</v>
      </c>
      <c r="G28" s="223">
        <f>G29+G30</f>
        <v>83200</v>
      </c>
      <c r="I28" s="1"/>
      <c r="J28" s="1"/>
    </row>
    <row r="29" spans="1:10">
      <c r="A29" s="340"/>
      <c r="B29" s="340"/>
      <c r="C29" s="290" t="s">
        <v>5</v>
      </c>
      <c r="D29" s="4">
        <f>D15*$I$29</f>
        <v>31200</v>
      </c>
      <c r="E29" s="4">
        <f>E15*$I$29</f>
        <v>32000</v>
      </c>
      <c r="F29" s="4">
        <f>F15*$I$29</f>
        <v>34800</v>
      </c>
      <c r="G29" s="4">
        <f>G15*$I$29</f>
        <v>35200</v>
      </c>
      <c r="I29" s="54">
        <v>0.4</v>
      </c>
      <c r="J29" s="3" t="s">
        <v>279</v>
      </c>
    </row>
    <row r="30" spans="1:10">
      <c r="A30" s="340"/>
      <c r="B30" s="340"/>
      <c r="C30" s="290" t="s">
        <v>22</v>
      </c>
      <c r="D30" s="1">
        <v>0</v>
      </c>
      <c r="E30" s="1">
        <v>0</v>
      </c>
      <c r="F30" s="4">
        <f>D15*$I$30</f>
        <v>46800</v>
      </c>
      <c r="G30" s="4">
        <f>E15*$I$30</f>
        <v>48000</v>
      </c>
      <c r="I30" s="54">
        <v>0.6</v>
      </c>
      <c r="J30" s="3" t="s">
        <v>280</v>
      </c>
    </row>
    <row r="31" spans="1:10">
      <c r="A31" s="340"/>
      <c r="B31" s="340"/>
      <c r="C31" s="302" t="s">
        <v>30</v>
      </c>
      <c r="D31" s="223">
        <f>D5+D22</f>
        <v>36992</v>
      </c>
      <c r="E31" s="223">
        <f>E5+E22+D26</f>
        <v>63480</v>
      </c>
      <c r="F31" s="223">
        <f>F5+F22+E26</f>
        <v>72384</v>
      </c>
      <c r="G31" s="223">
        <f>G5+G22+F26</f>
        <v>73592</v>
      </c>
      <c r="I31" s="1"/>
      <c r="J31" s="1"/>
    </row>
    <row r="32" spans="1:10">
      <c r="A32" s="340"/>
      <c r="B32" s="340"/>
      <c r="C32" s="290" t="str">
        <f>TEXT(A3,"")</f>
        <v>RM</v>
      </c>
      <c r="D32" s="7">
        <f>D5</f>
        <v>33000</v>
      </c>
      <c r="E32" s="7">
        <f t="shared" ref="E32:G32" si="2">E5</f>
        <v>41600</v>
      </c>
      <c r="F32" s="7">
        <f t="shared" si="2"/>
        <v>49000</v>
      </c>
      <c r="G32" s="7">
        <f t="shared" si="2"/>
        <v>49000</v>
      </c>
      <c r="I32" s="1"/>
      <c r="J32" s="1"/>
    </row>
    <row r="33" spans="1:10">
      <c r="A33" s="340"/>
      <c r="B33" s="340"/>
      <c r="C33" s="290" t="str">
        <f>TEXT(A16,"")</f>
        <v>RM 2</v>
      </c>
      <c r="D33" s="7">
        <f>D22</f>
        <v>3992</v>
      </c>
      <c r="E33" s="7">
        <f t="shared" ref="E33:G33" si="3">E22</f>
        <v>3880</v>
      </c>
      <c r="F33" s="7">
        <f t="shared" si="3"/>
        <v>4184</v>
      </c>
      <c r="G33" s="7">
        <f t="shared" si="3"/>
        <v>3712</v>
      </c>
      <c r="I33" s="1"/>
      <c r="J33" s="1"/>
    </row>
    <row r="34" spans="1:10">
      <c r="A34" s="340"/>
      <c r="B34" s="340"/>
      <c r="C34" s="15" t="str">
        <f>TEXT(A24,"")</f>
        <v>Labour</v>
      </c>
      <c r="D34" s="7"/>
      <c r="E34" s="7">
        <f>D26</f>
        <v>18000</v>
      </c>
      <c r="F34" s="7">
        <f t="shared" ref="F34:G34" si="4">E26</f>
        <v>19200</v>
      </c>
      <c r="G34" s="7">
        <f t="shared" si="4"/>
        <v>20880</v>
      </c>
      <c r="I34" s="1"/>
      <c r="J34" s="1"/>
    </row>
    <row r="35" spans="1:10">
      <c r="A35" s="340"/>
      <c r="B35" s="340"/>
      <c r="C35" s="226" t="s">
        <v>31</v>
      </c>
      <c r="D35" s="227">
        <f>D28-D31</f>
        <v>-5792</v>
      </c>
      <c r="E35" s="227">
        <f>E28-E31</f>
        <v>-31480</v>
      </c>
      <c r="F35" s="227">
        <f>F28-F31</f>
        <v>9216</v>
      </c>
      <c r="G35" s="227">
        <f>G28-G31</f>
        <v>9608</v>
      </c>
      <c r="I35" s="1"/>
      <c r="J35" s="1"/>
    </row>
    <row r="37" spans="1:10">
      <c r="A37" s="338" t="s">
        <v>70</v>
      </c>
      <c r="B37" s="338"/>
      <c r="C37" s="338"/>
      <c r="D37" s="338"/>
      <c r="E37" s="338"/>
      <c r="F37" s="338"/>
      <c r="G37" s="338"/>
    </row>
    <row r="38" spans="1:10">
      <c r="A38" s="338" t="s">
        <v>71</v>
      </c>
      <c r="B38" s="338"/>
      <c r="C38" s="338"/>
      <c r="D38" s="338"/>
      <c r="E38" s="338"/>
      <c r="F38" s="338"/>
      <c r="G38" s="338"/>
    </row>
    <row r="39" spans="1:10">
      <c r="A39" s="338" t="s">
        <v>72</v>
      </c>
      <c r="B39" s="338"/>
      <c r="C39" s="338"/>
      <c r="D39" s="338"/>
      <c r="E39" s="338"/>
      <c r="F39" s="338"/>
      <c r="G39" s="338"/>
    </row>
    <row r="40" spans="1:10">
      <c r="A40" s="338" t="s">
        <v>73</v>
      </c>
      <c r="B40" s="338"/>
      <c r="C40" s="338"/>
      <c r="D40" s="338"/>
      <c r="E40" s="338"/>
      <c r="F40" s="338"/>
      <c r="G40" s="338"/>
    </row>
  </sheetData>
  <mergeCells count="23">
    <mergeCell ref="I2:J2"/>
    <mergeCell ref="A3:A9"/>
    <mergeCell ref="B3:B5"/>
    <mergeCell ref="B6:B7"/>
    <mergeCell ref="B8:B9"/>
    <mergeCell ref="D9:G9"/>
    <mergeCell ref="A10:A15"/>
    <mergeCell ref="B10:B12"/>
    <mergeCell ref="B13:B15"/>
    <mergeCell ref="D14:G14"/>
    <mergeCell ref="A16:A22"/>
    <mergeCell ref="B16:B19"/>
    <mergeCell ref="D16:G16"/>
    <mergeCell ref="B20:B22"/>
    <mergeCell ref="D21:G21"/>
    <mergeCell ref="A39:G39"/>
    <mergeCell ref="A40:G40"/>
    <mergeCell ref="A24:B26"/>
    <mergeCell ref="D24:G24"/>
    <mergeCell ref="D25:G25"/>
    <mergeCell ref="A28:B35"/>
    <mergeCell ref="A37:G37"/>
    <mergeCell ref="A38:G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AF0E-B143-453A-925D-E1B55963CB06}">
  <dimension ref="A2:I61"/>
  <sheetViews>
    <sheetView zoomScale="85" zoomScaleNormal="85" workbookViewId="0">
      <selection activeCell="G8" sqref="G8"/>
    </sheetView>
  </sheetViews>
  <sheetFormatPr baseColWidth="10" defaultColWidth="9" defaultRowHeight="13.8"/>
  <cols>
    <col min="1" max="1" width="16.796875" style="32" customWidth="1"/>
    <col min="2" max="2" width="20.796875" style="32" customWidth="1"/>
    <col min="3" max="3" width="18.69921875" style="33" customWidth="1"/>
    <col min="4" max="4" width="13.296875" style="32" bestFit="1" customWidth="1"/>
    <col min="5" max="5" width="9.796875" style="32" customWidth="1"/>
    <col min="6" max="6" width="9.296875" style="32" customWidth="1"/>
    <col min="7" max="7" width="10.5" style="32" bestFit="1" customWidth="1"/>
    <col min="8" max="9" width="10.19921875" style="32" bestFit="1" customWidth="1"/>
    <col min="10" max="16384" width="9" style="32"/>
  </cols>
  <sheetData>
    <row r="2" spans="1:9">
      <c r="A2" s="354" t="s">
        <v>4</v>
      </c>
      <c r="B2" s="354"/>
      <c r="C2" s="354"/>
      <c r="E2" s="363" t="s">
        <v>10</v>
      </c>
      <c r="F2" s="363"/>
      <c r="G2" s="363"/>
      <c r="H2" s="363"/>
    </row>
    <row r="3" spans="1:9">
      <c r="A3" s="351" t="s">
        <v>0</v>
      </c>
      <c r="B3" s="353"/>
      <c r="C3" s="196">
        <v>645000</v>
      </c>
      <c r="E3" s="327" t="s">
        <v>112</v>
      </c>
      <c r="F3" s="13" t="s">
        <v>7</v>
      </c>
      <c r="G3" s="10">
        <f>C15/(B26*B27)</f>
        <v>25000</v>
      </c>
      <c r="H3" s="349">
        <v>25000</v>
      </c>
      <c r="I3" s="327" t="s">
        <v>116</v>
      </c>
    </row>
    <row r="4" spans="1:9">
      <c r="A4" s="351" t="s">
        <v>1</v>
      </c>
      <c r="B4" s="353"/>
      <c r="C4" s="196">
        <f>C23</f>
        <v>510000</v>
      </c>
      <c r="E4" s="327"/>
      <c r="F4" s="13" t="s">
        <v>8</v>
      </c>
      <c r="G4" s="10">
        <f>C16/(B29*B30)</f>
        <v>25000</v>
      </c>
      <c r="H4" s="350"/>
      <c r="I4" s="327"/>
    </row>
    <row r="5" spans="1:9">
      <c r="A5" s="351" t="s">
        <v>2</v>
      </c>
      <c r="B5" s="353"/>
      <c r="C5" s="196">
        <f>C3-C4</f>
        <v>135000</v>
      </c>
      <c r="E5" s="351" t="s">
        <v>113</v>
      </c>
      <c r="F5" s="352"/>
      <c r="G5" s="353"/>
      <c r="H5" s="55">
        <f>C20/G4</f>
        <v>25.8</v>
      </c>
      <c r="I5" s="13" t="s">
        <v>117</v>
      </c>
    </row>
    <row r="6" spans="1:9">
      <c r="A6" s="351" t="s">
        <v>100</v>
      </c>
      <c r="B6" s="353"/>
      <c r="C6" s="196">
        <f>SUM(C7:C8)</f>
        <v>150000</v>
      </c>
      <c r="E6" s="365" t="s">
        <v>114</v>
      </c>
      <c r="F6" s="13" t="s">
        <v>109</v>
      </c>
      <c r="G6" s="10">
        <f>D21</f>
        <v>5000</v>
      </c>
      <c r="H6" s="13" t="s">
        <v>116</v>
      </c>
    </row>
    <row r="7" spans="1:9">
      <c r="A7" s="13"/>
      <c r="B7" s="13" t="s">
        <v>101</v>
      </c>
      <c r="C7" s="196">
        <v>80000</v>
      </c>
      <c r="E7" s="365"/>
      <c r="F7" s="13" t="s">
        <v>106</v>
      </c>
      <c r="G7" s="11">
        <f>C22/H5</f>
        <v>10000</v>
      </c>
      <c r="H7" s="13" t="s">
        <v>116</v>
      </c>
    </row>
    <row r="8" spans="1:9">
      <c r="A8" s="13"/>
      <c r="B8" s="13" t="s">
        <v>102</v>
      </c>
      <c r="C8" s="196">
        <v>70000</v>
      </c>
      <c r="E8" s="327" t="s">
        <v>10</v>
      </c>
      <c r="F8" s="327"/>
      <c r="G8" s="11">
        <f>G4+G6-G7</f>
        <v>20000</v>
      </c>
      <c r="H8" s="13" t="s">
        <v>116</v>
      </c>
    </row>
    <row r="9" spans="1:9">
      <c r="A9" s="355" t="s">
        <v>103</v>
      </c>
      <c r="B9" s="356"/>
      <c r="C9" s="200">
        <f>C5-C6</f>
        <v>-15000</v>
      </c>
    </row>
    <row r="11" spans="1:9">
      <c r="A11" s="354" t="s">
        <v>86</v>
      </c>
      <c r="B11" s="354"/>
      <c r="C11" s="354"/>
    </row>
    <row r="12" spans="1:9">
      <c r="A12" s="327" t="s">
        <v>7</v>
      </c>
      <c r="B12" s="13" t="s">
        <v>14</v>
      </c>
      <c r="C12" s="196">
        <v>275000</v>
      </c>
    </row>
    <row r="13" spans="1:9">
      <c r="A13" s="327"/>
      <c r="B13" s="13" t="s">
        <v>237</v>
      </c>
      <c r="C13" s="196">
        <v>10000</v>
      </c>
      <c r="D13" s="32" t="s">
        <v>115</v>
      </c>
    </row>
    <row r="14" spans="1:9">
      <c r="A14" s="327"/>
      <c r="B14" s="13" t="s">
        <v>238</v>
      </c>
      <c r="C14" s="196">
        <v>35000</v>
      </c>
    </row>
    <row r="15" spans="1:9">
      <c r="A15" s="327"/>
      <c r="B15" s="95" t="s">
        <v>11</v>
      </c>
      <c r="C15" s="197">
        <f>C12+C13-C14</f>
        <v>250000</v>
      </c>
    </row>
    <row r="16" spans="1:9" ht="19.95" customHeight="1">
      <c r="A16" s="366" t="s">
        <v>43</v>
      </c>
      <c r="B16" s="366"/>
      <c r="C16" s="197">
        <v>175000</v>
      </c>
    </row>
    <row r="17" spans="1:5">
      <c r="A17" s="327" t="s">
        <v>88</v>
      </c>
      <c r="B17" s="13" t="s">
        <v>107</v>
      </c>
      <c r="C17" s="196">
        <v>20000</v>
      </c>
    </row>
    <row r="18" spans="1:5">
      <c r="A18" s="327"/>
      <c r="B18" s="13" t="s">
        <v>108</v>
      </c>
      <c r="C18" s="196">
        <v>200000</v>
      </c>
    </row>
    <row r="19" spans="1:5">
      <c r="A19" s="327"/>
      <c r="B19" s="95" t="s">
        <v>11</v>
      </c>
      <c r="C19" s="197">
        <f>SUM(C17:C18)</f>
        <v>220000</v>
      </c>
    </row>
    <row r="20" spans="1:5" ht="21" customHeight="1">
      <c r="A20" s="367" t="s">
        <v>87</v>
      </c>
      <c r="B20" s="367"/>
      <c r="C20" s="198">
        <f>C15+C16+C19</f>
        <v>645000</v>
      </c>
    </row>
    <row r="21" spans="1:5">
      <c r="A21" s="327" t="s">
        <v>6</v>
      </c>
      <c r="B21" s="13" t="s">
        <v>237</v>
      </c>
      <c r="C21" s="196">
        <v>123000</v>
      </c>
      <c r="D21" s="32">
        <v>5000</v>
      </c>
      <c r="E21" s="202"/>
    </row>
    <row r="22" spans="1:5">
      <c r="A22" s="327"/>
      <c r="B22" s="13" t="s">
        <v>239</v>
      </c>
      <c r="C22" s="196">
        <v>258000</v>
      </c>
    </row>
    <row r="23" spans="1:5">
      <c r="A23" s="364" t="s">
        <v>11</v>
      </c>
      <c r="B23" s="364"/>
      <c r="C23" s="199">
        <f>C20+C21-C22</f>
        <v>510000</v>
      </c>
    </row>
    <row r="25" spans="1:5">
      <c r="A25" s="358" t="s">
        <v>7</v>
      </c>
      <c r="B25" s="359"/>
      <c r="C25" s="32"/>
    </row>
    <row r="26" spans="1:5">
      <c r="A26" s="13" t="s">
        <v>110</v>
      </c>
      <c r="B26" s="36">
        <v>5</v>
      </c>
      <c r="C26" s="32"/>
    </row>
    <row r="27" spans="1:5">
      <c r="A27" s="13" t="s">
        <v>89</v>
      </c>
      <c r="B27" s="201">
        <v>2</v>
      </c>
      <c r="C27" s="32"/>
    </row>
    <row r="28" spans="1:5">
      <c r="A28" s="360" t="s">
        <v>111</v>
      </c>
      <c r="B28" s="361"/>
      <c r="C28" s="38"/>
    </row>
    <row r="29" spans="1:5">
      <c r="A29" s="13" t="s">
        <v>110</v>
      </c>
      <c r="B29" s="37">
        <v>0.25</v>
      </c>
      <c r="C29" s="38"/>
    </row>
    <row r="30" spans="1:5">
      <c r="A30" s="13" t="s">
        <v>89</v>
      </c>
      <c r="B30" s="196">
        <v>28</v>
      </c>
      <c r="C30" s="38"/>
    </row>
    <row r="32" spans="1:5" ht="17.399999999999999">
      <c r="A32" s="357" t="s">
        <v>118</v>
      </c>
      <c r="B32" s="357"/>
      <c r="C32" s="357"/>
      <c r="D32" s="357"/>
      <c r="E32" s="357"/>
    </row>
    <row r="33" spans="1:9">
      <c r="A33" s="354" t="s">
        <v>4</v>
      </c>
      <c r="B33" s="354"/>
      <c r="C33" s="354"/>
      <c r="D33" s="13" t="s">
        <v>120</v>
      </c>
      <c r="E33" s="13" t="s">
        <v>119</v>
      </c>
    </row>
    <row r="34" spans="1:9">
      <c r="A34" s="327" t="s">
        <v>0</v>
      </c>
      <c r="B34" s="327"/>
      <c r="C34" s="9">
        <v>645000</v>
      </c>
      <c r="D34" s="10">
        <f>C34*(1+E34)</f>
        <v>696600</v>
      </c>
      <c r="E34" s="16">
        <v>0.08</v>
      </c>
      <c r="G34" s="362" t="s">
        <v>10</v>
      </c>
      <c r="H34" s="362"/>
      <c r="I34" s="35">
        <f>G8*(1+E34)</f>
        <v>21600</v>
      </c>
    </row>
    <row r="35" spans="1:9">
      <c r="A35" s="327" t="s">
        <v>1</v>
      </c>
      <c r="B35" s="327"/>
      <c r="C35" s="9">
        <f>C54</f>
        <v>510000</v>
      </c>
      <c r="D35" s="9">
        <f>D54</f>
        <v>569540</v>
      </c>
      <c r="E35" s="16"/>
      <c r="G35" s="32" t="s">
        <v>114</v>
      </c>
      <c r="H35" s="32" t="s">
        <v>109</v>
      </c>
      <c r="I35" s="33">
        <v>5000</v>
      </c>
    </row>
    <row r="36" spans="1:9">
      <c r="A36" s="327" t="s">
        <v>2</v>
      </c>
      <c r="B36" s="327"/>
      <c r="C36" s="9">
        <f>C34-C35</f>
        <v>135000</v>
      </c>
      <c r="D36" s="9">
        <f>D34-D35</f>
        <v>127060</v>
      </c>
      <c r="E36" s="13"/>
      <c r="H36" s="32" t="s">
        <v>106</v>
      </c>
      <c r="I36" s="35">
        <f>G4+G6-I34</f>
        <v>8400</v>
      </c>
    </row>
    <row r="37" spans="1:9">
      <c r="A37" s="327" t="s">
        <v>100</v>
      </c>
      <c r="B37" s="327"/>
      <c r="C37" s="9">
        <f>SUM(C38:C39)</f>
        <v>150000</v>
      </c>
      <c r="D37" s="9">
        <f>SUM(D38:D39)</f>
        <v>146800</v>
      </c>
      <c r="E37" s="13"/>
    </row>
    <row r="38" spans="1:9">
      <c r="A38" s="13"/>
      <c r="B38" s="13" t="s">
        <v>101</v>
      </c>
      <c r="C38" s="9">
        <v>80000</v>
      </c>
      <c r="D38" s="10">
        <f>C38*(1+E38)</f>
        <v>76800</v>
      </c>
      <c r="E38" s="16">
        <v>-0.04</v>
      </c>
    </row>
    <row r="39" spans="1:9">
      <c r="A39" s="13"/>
      <c r="B39" s="13" t="s">
        <v>102</v>
      </c>
      <c r="C39" s="9">
        <v>70000</v>
      </c>
      <c r="D39" s="10">
        <f>C39*(1+E39)</f>
        <v>70000</v>
      </c>
      <c r="E39" s="16">
        <v>0</v>
      </c>
    </row>
    <row r="40" spans="1:9">
      <c r="A40" s="368" t="s">
        <v>103</v>
      </c>
      <c r="B40" s="368"/>
      <c r="C40" s="204">
        <f>C36-C37</f>
        <v>-15000</v>
      </c>
      <c r="D40" s="204">
        <f>D36-D37</f>
        <v>-19740</v>
      </c>
      <c r="E40" s="205"/>
    </row>
    <row r="42" spans="1:9">
      <c r="A42" s="339" t="s">
        <v>86</v>
      </c>
      <c r="B42" s="339"/>
      <c r="C42" s="339"/>
      <c r="D42" s="13" t="s">
        <v>120</v>
      </c>
      <c r="E42" s="13" t="s">
        <v>119</v>
      </c>
    </row>
    <row r="43" spans="1:9">
      <c r="A43" s="327" t="s">
        <v>7</v>
      </c>
      <c r="B43" s="13" t="s">
        <v>104</v>
      </c>
      <c r="C43" s="9">
        <v>275000</v>
      </c>
      <c r="D43" s="10">
        <f>C43*(1+E43)</f>
        <v>288750</v>
      </c>
      <c r="E43" s="16">
        <v>0.05</v>
      </c>
    </row>
    <row r="44" spans="1:9">
      <c r="A44" s="327"/>
      <c r="B44" s="13" t="s">
        <v>105</v>
      </c>
      <c r="C44" s="9">
        <v>10000</v>
      </c>
      <c r="D44" s="10">
        <f>C44</f>
        <v>10000</v>
      </c>
      <c r="E44" s="13"/>
    </row>
    <row r="45" spans="1:9">
      <c r="A45" s="327"/>
      <c r="B45" s="13" t="s">
        <v>106</v>
      </c>
      <c r="C45" s="9">
        <v>35000</v>
      </c>
      <c r="D45" s="10">
        <f>C45*(1+E43)</f>
        <v>36750</v>
      </c>
      <c r="E45" s="13"/>
    </row>
    <row r="46" spans="1:9">
      <c r="A46" s="327"/>
      <c r="B46" s="13" t="s">
        <v>11</v>
      </c>
      <c r="C46" s="9">
        <f>C43+C44-C45</f>
        <v>250000</v>
      </c>
      <c r="D46" s="10">
        <f>D43+D44-D45</f>
        <v>262000</v>
      </c>
      <c r="E46" s="13"/>
      <c r="F46" s="35"/>
    </row>
    <row r="47" spans="1:9">
      <c r="A47" s="327" t="s">
        <v>43</v>
      </c>
      <c r="B47" s="327"/>
      <c r="C47" s="9">
        <v>175000</v>
      </c>
      <c r="D47" s="10">
        <f>G4*C61*C60</f>
        <v>178500</v>
      </c>
      <c r="E47" s="13"/>
    </row>
    <row r="48" spans="1:9">
      <c r="A48" s="327" t="s">
        <v>88</v>
      </c>
      <c r="B48" s="13" t="s">
        <v>107</v>
      </c>
      <c r="C48" s="9">
        <v>20000</v>
      </c>
      <c r="D48" s="10">
        <f>C48*(1+E48)</f>
        <v>20000</v>
      </c>
      <c r="E48" s="16">
        <v>0</v>
      </c>
    </row>
    <row r="49" spans="1:5">
      <c r="A49" s="327"/>
      <c r="B49" s="13" t="s">
        <v>108</v>
      </c>
      <c r="C49" s="9">
        <v>200000</v>
      </c>
      <c r="D49" s="10">
        <f>C49*(1+E49)</f>
        <v>212000</v>
      </c>
      <c r="E49" s="16">
        <v>0.06</v>
      </c>
    </row>
    <row r="50" spans="1:5">
      <c r="A50" s="327"/>
      <c r="B50" s="13" t="s">
        <v>11</v>
      </c>
      <c r="C50" s="9">
        <f>SUM(C48:C49)</f>
        <v>220000</v>
      </c>
      <c r="D50" s="10">
        <f>SUM(D48:D49)</f>
        <v>232000</v>
      </c>
      <c r="E50" s="40"/>
    </row>
    <row r="51" spans="1:5">
      <c r="A51" s="327" t="s">
        <v>87</v>
      </c>
      <c r="B51" s="327"/>
      <c r="C51" s="9">
        <f>C46+C47+C50</f>
        <v>645000</v>
      </c>
      <c r="D51" s="9">
        <f>D46+D47+D50</f>
        <v>672500</v>
      </c>
      <c r="E51" s="13"/>
    </row>
    <row r="52" spans="1:5">
      <c r="A52" s="327" t="s">
        <v>6</v>
      </c>
      <c r="B52" s="13" t="s">
        <v>109</v>
      </c>
      <c r="C52" s="9">
        <v>123000</v>
      </c>
      <c r="D52" s="10">
        <f>C52*(1+E52)</f>
        <v>123000</v>
      </c>
      <c r="E52" s="16">
        <v>0</v>
      </c>
    </row>
    <row r="53" spans="1:5">
      <c r="A53" s="327"/>
      <c r="B53" s="13" t="s">
        <v>106</v>
      </c>
      <c r="C53" s="9">
        <v>258000</v>
      </c>
      <c r="D53" s="203">
        <f>I36*(D51/H3)</f>
        <v>225960</v>
      </c>
      <c r="E53" s="13"/>
    </row>
    <row r="54" spans="1:5">
      <c r="A54" s="339" t="s">
        <v>11</v>
      </c>
      <c r="B54" s="339"/>
      <c r="C54" s="34">
        <f>C51+C52-C53</f>
        <v>510000</v>
      </c>
      <c r="D54" s="34">
        <f>D51+D52-D53</f>
        <v>569540</v>
      </c>
      <c r="E54" s="13"/>
    </row>
    <row r="56" spans="1:5">
      <c r="A56" s="363" t="s">
        <v>7</v>
      </c>
      <c r="B56" s="363"/>
      <c r="C56" s="13" t="s">
        <v>120</v>
      </c>
      <c r="D56" s="13" t="s">
        <v>119</v>
      </c>
    </row>
    <row r="57" spans="1:5">
      <c r="A57" s="13" t="s">
        <v>110</v>
      </c>
      <c r="B57" s="36">
        <v>5</v>
      </c>
      <c r="C57" s="10">
        <f>B57*(1+D57)</f>
        <v>5</v>
      </c>
      <c r="D57" s="16"/>
    </row>
    <row r="58" spans="1:5">
      <c r="A58" s="13" t="s">
        <v>89</v>
      </c>
      <c r="B58" s="36">
        <v>2</v>
      </c>
      <c r="C58" s="10">
        <f>B58*(1+D58)</f>
        <v>2</v>
      </c>
      <c r="D58" s="16"/>
    </row>
    <row r="59" spans="1:5">
      <c r="A59" s="369" t="s">
        <v>111</v>
      </c>
      <c r="B59" s="369"/>
      <c r="C59" s="13" t="s">
        <v>120</v>
      </c>
      <c r="D59" s="13" t="s">
        <v>119</v>
      </c>
    </row>
    <row r="60" spans="1:5">
      <c r="A60" s="13" t="s">
        <v>110</v>
      </c>
      <c r="B60" s="37">
        <v>0.25</v>
      </c>
      <c r="C60" s="11">
        <f>B60*(1+D60)</f>
        <v>0.25</v>
      </c>
      <c r="D60" s="16"/>
    </row>
    <row r="61" spans="1:5">
      <c r="A61" s="13" t="s">
        <v>89</v>
      </c>
      <c r="B61" s="37">
        <v>28</v>
      </c>
      <c r="C61" s="10">
        <f>B61*(1+D61)</f>
        <v>28.560000000000002</v>
      </c>
      <c r="D61" s="16">
        <v>0.02</v>
      </c>
    </row>
  </sheetData>
  <mergeCells count="39">
    <mergeCell ref="A35:B35"/>
    <mergeCell ref="A36:B36"/>
    <mergeCell ref="A42:C42"/>
    <mergeCell ref="A43:A46"/>
    <mergeCell ref="A47:B47"/>
    <mergeCell ref="A48:A50"/>
    <mergeCell ref="A37:B37"/>
    <mergeCell ref="A40:B40"/>
    <mergeCell ref="A56:B56"/>
    <mergeCell ref="A59:B59"/>
    <mergeCell ref="A51:B51"/>
    <mergeCell ref="A52:A53"/>
    <mergeCell ref="A54:B54"/>
    <mergeCell ref="I3:I4"/>
    <mergeCell ref="A2:C2"/>
    <mergeCell ref="A3:B3"/>
    <mergeCell ref="A4:B4"/>
    <mergeCell ref="G34:H34"/>
    <mergeCell ref="A34:B34"/>
    <mergeCell ref="E2:H2"/>
    <mergeCell ref="A21:A22"/>
    <mergeCell ref="A23:B23"/>
    <mergeCell ref="A11:C11"/>
    <mergeCell ref="E3:E4"/>
    <mergeCell ref="E6:E7"/>
    <mergeCell ref="E8:F8"/>
    <mergeCell ref="A12:A15"/>
    <mergeCell ref="A16:B16"/>
    <mergeCell ref="A20:B20"/>
    <mergeCell ref="A17:A19"/>
    <mergeCell ref="H3:H4"/>
    <mergeCell ref="E5:G5"/>
    <mergeCell ref="A5:B5"/>
    <mergeCell ref="A33:C33"/>
    <mergeCell ref="A6:B6"/>
    <mergeCell ref="A9:B9"/>
    <mergeCell ref="A32:E32"/>
    <mergeCell ref="A25:B25"/>
    <mergeCell ref="A28:B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A8E06-4EDA-0241-8A1A-7F3C4572649B}">
  <dimension ref="A1:L113"/>
  <sheetViews>
    <sheetView tabSelected="1" topLeftCell="A73" zoomScale="70" zoomScaleNormal="70" workbookViewId="0">
      <selection activeCell="D73" sqref="D73"/>
    </sheetView>
  </sheetViews>
  <sheetFormatPr baseColWidth="10" defaultRowHeight="13.8"/>
  <cols>
    <col min="1" max="1" width="24.296875" customWidth="1"/>
    <col min="2" max="2" width="24.69921875" customWidth="1"/>
    <col min="3" max="3" width="24" bestFit="1" customWidth="1"/>
    <col min="4" max="4" width="22.19921875" customWidth="1"/>
    <col min="5" max="5" width="22.5" customWidth="1"/>
    <col min="6" max="6" width="19.796875" customWidth="1"/>
    <col min="7" max="7" width="13.296875" customWidth="1"/>
    <col min="8" max="8" width="5.19921875" customWidth="1"/>
    <col min="9" max="9" width="33.796875" customWidth="1"/>
    <col min="10" max="10" width="16" bestFit="1" customWidth="1"/>
    <col min="11" max="11" width="14.296875" bestFit="1" customWidth="1"/>
  </cols>
  <sheetData>
    <row r="1" spans="1:10" ht="32.4">
      <c r="A1" s="311" t="s">
        <v>197</v>
      </c>
      <c r="B1" s="392"/>
      <c r="C1" s="392"/>
      <c r="D1" s="392"/>
      <c r="E1" s="392"/>
      <c r="F1" s="392"/>
      <c r="G1" s="392"/>
      <c r="H1" s="392"/>
      <c r="I1" s="392"/>
      <c r="J1" s="392"/>
    </row>
    <row r="2" spans="1:10">
      <c r="A2" s="51"/>
      <c r="B2" s="51"/>
    </row>
    <row r="3" spans="1:10">
      <c r="A3" s="96"/>
      <c r="B3" s="97"/>
      <c r="C3" s="101" t="s">
        <v>162</v>
      </c>
      <c r="D3" s="179" t="s">
        <v>214</v>
      </c>
      <c r="E3" s="181" t="s">
        <v>220</v>
      </c>
      <c r="F3" s="180" t="s">
        <v>211</v>
      </c>
      <c r="G3" s="182" t="s">
        <v>197</v>
      </c>
      <c r="H3" s="8"/>
      <c r="I3" s="292"/>
    </row>
    <row r="4" spans="1:10">
      <c r="A4" s="335" t="s">
        <v>0</v>
      </c>
      <c r="B4" s="294" t="s">
        <v>15</v>
      </c>
      <c r="C4" s="105">
        <v>180</v>
      </c>
      <c r="D4" s="105">
        <f>F4</f>
        <v>200</v>
      </c>
      <c r="E4" s="105">
        <f>D4</f>
        <v>200</v>
      </c>
      <c r="F4" s="105">
        <v>200</v>
      </c>
      <c r="G4" s="183">
        <f t="shared" ref="G4:G19" si="0">D4-F4</f>
        <v>0</v>
      </c>
      <c r="H4" s="1" t="str">
        <f t="shared" ref="H4:H22" si="1">IF(G4&gt;0,"F",IF(G4&lt;0,"U",""))</f>
        <v/>
      </c>
      <c r="I4" s="292" t="str">
        <f>TEXT(B4,"")&amp;" Var"</f>
        <v>Volume Var</v>
      </c>
    </row>
    <row r="5" spans="1:10">
      <c r="A5" s="327"/>
      <c r="B5" s="292" t="s">
        <v>16</v>
      </c>
      <c r="C5" s="47">
        <v>64</v>
      </c>
      <c r="D5" s="47">
        <v>64</v>
      </c>
      <c r="E5" s="47">
        <v>64</v>
      </c>
      <c r="F5" s="47">
        <v>64</v>
      </c>
      <c r="G5" s="183">
        <f t="shared" si="0"/>
        <v>0</v>
      </c>
      <c r="H5" s="1" t="str">
        <f t="shared" si="1"/>
        <v/>
      </c>
      <c r="I5" s="292" t="str">
        <f>TEXT(B5,"")&amp;" Var"</f>
        <v>Unit Price Var</v>
      </c>
    </row>
    <row r="6" spans="1:10">
      <c r="A6" s="327"/>
      <c r="B6" s="95" t="s">
        <v>221</v>
      </c>
      <c r="C6" s="103">
        <f>C5*C4</f>
        <v>11520</v>
      </c>
      <c r="D6" s="103">
        <f>D5*D4</f>
        <v>12800</v>
      </c>
      <c r="E6" s="103">
        <f>E5*E4</f>
        <v>12800</v>
      </c>
      <c r="F6" s="103">
        <f>F5*F4</f>
        <v>12800</v>
      </c>
      <c r="G6" s="184">
        <f>F6-C6</f>
        <v>1280</v>
      </c>
      <c r="H6" s="102" t="str">
        <f t="shared" si="1"/>
        <v>F</v>
      </c>
      <c r="I6" s="292" t="str">
        <f t="shared" ref="I6:I21" si="2">TEXT(B6,"")&amp;" Var"</f>
        <v>Sales turnover Var</v>
      </c>
    </row>
    <row r="7" spans="1:10">
      <c r="A7" s="327" t="s">
        <v>7</v>
      </c>
      <c r="B7" s="292" t="s">
        <v>38</v>
      </c>
      <c r="C7" s="47">
        <v>5</v>
      </c>
      <c r="D7" s="47">
        <v>5</v>
      </c>
      <c r="E7" s="47">
        <f>F7</f>
        <v>4.5</v>
      </c>
      <c r="F7" s="47">
        <f>900/F4</f>
        <v>4.5</v>
      </c>
      <c r="G7" s="183">
        <f t="shared" si="0"/>
        <v>0.5</v>
      </c>
      <c r="H7" s="1" t="str">
        <f t="shared" si="1"/>
        <v>F</v>
      </c>
      <c r="I7" s="292" t="str">
        <f t="shared" si="2"/>
        <v>RM Usage Var</v>
      </c>
    </row>
    <row r="8" spans="1:10">
      <c r="A8" s="327"/>
      <c r="B8" s="292" t="s">
        <v>34</v>
      </c>
      <c r="C8" s="105">
        <f>C7*C4</f>
        <v>900</v>
      </c>
      <c r="D8" s="105">
        <f>D7*D4</f>
        <v>1000</v>
      </c>
      <c r="E8" s="105">
        <f>E7*E4</f>
        <v>900</v>
      </c>
      <c r="F8" s="105">
        <f>F7*F4</f>
        <v>900</v>
      </c>
      <c r="G8" s="183">
        <f>F8-C8</f>
        <v>0</v>
      </c>
      <c r="H8" s="1" t="str">
        <f t="shared" si="1"/>
        <v/>
      </c>
      <c r="I8" s="292" t="str">
        <f t="shared" si="2"/>
        <v>RM Used Var</v>
      </c>
    </row>
    <row r="9" spans="1:10">
      <c r="A9" s="327"/>
      <c r="B9" s="292" t="s">
        <v>37</v>
      </c>
      <c r="C9" s="47">
        <v>5</v>
      </c>
      <c r="D9" s="47">
        <v>5</v>
      </c>
      <c r="E9" s="47">
        <v>5</v>
      </c>
      <c r="F9" s="47">
        <f>5400/F8</f>
        <v>6</v>
      </c>
      <c r="G9" s="183">
        <f t="shared" si="0"/>
        <v>-1</v>
      </c>
      <c r="H9" s="1" t="str">
        <f t="shared" si="1"/>
        <v>U</v>
      </c>
      <c r="I9" s="292" t="str">
        <f t="shared" si="2"/>
        <v>RM Unit Price Var</v>
      </c>
    </row>
    <row r="10" spans="1:10">
      <c r="A10" s="327"/>
      <c r="B10" s="292" t="s">
        <v>35</v>
      </c>
      <c r="C10" s="105">
        <f>C8*C9</f>
        <v>4500</v>
      </c>
      <c r="D10" s="105">
        <f>D8*D9</f>
        <v>5000</v>
      </c>
      <c r="E10" s="105">
        <f>E8*E9</f>
        <v>4500</v>
      </c>
      <c r="F10" s="105">
        <f>F8*F9</f>
        <v>5400</v>
      </c>
      <c r="G10" s="183">
        <f>C10-F10</f>
        <v>-900</v>
      </c>
      <c r="H10" s="1" t="str">
        <f t="shared" si="1"/>
        <v>U</v>
      </c>
      <c r="I10" s="29" t="str">
        <f>TEXT(B10,"")&amp;" Var or Variable Cost Var"</f>
        <v>RM Cost Var or Variable Cost Var</v>
      </c>
    </row>
    <row r="11" spans="1:10">
      <c r="A11" s="327" t="s">
        <v>39</v>
      </c>
      <c r="B11" s="292" t="s">
        <v>32</v>
      </c>
      <c r="C11" s="104">
        <f>C6-C10</f>
        <v>7020</v>
      </c>
      <c r="D11" s="104">
        <f>D6-D10</f>
        <v>7800</v>
      </c>
      <c r="E11" s="104">
        <f>E6-E10</f>
        <v>8300</v>
      </c>
      <c r="F11" s="104">
        <f>F6-F10</f>
        <v>7400</v>
      </c>
      <c r="G11" s="183">
        <f>F11-C11</f>
        <v>380</v>
      </c>
      <c r="H11" s="1" t="str">
        <f t="shared" si="1"/>
        <v>F</v>
      </c>
      <c r="I11" s="292" t="str">
        <f t="shared" si="2"/>
        <v>Contribution Margin Var</v>
      </c>
    </row>
    <row r="12" spans="1:10">
      <c r="A12" s="327"/>
      <c r="B12" s="292" t="s">
        <v>33</v>
      </c>
      <c r="C12" s="105">
        <v>2700</v>
      </c>
      <c r="D12" s="105">
        <v>2700</v>
      </c>
      <c r="E12" s="105">
        <v>2700</v>
      </c>
      <c r="F12" s="105">
        <v>3000</v>
      </c>
      <c r="G12" s="183">
        <f>C12-F12</f>
        <v>-300</v>
      </c>
      <c r="H12" s="1" t="str">
        <f t="shared" si="1"/>
        <v>U</v>
      </c>
      <c r="I12" s="29" t="str">
        <f t="shared" si="2"/>
        <v>Fixed Costs Var</v>
      </c>
    </row>
    <row r="13" spans="1:10">
      <c r="A13" s="327"/>
      <c r="B13" s="292" t="s">
        <v>99</v>
      </c>
      <c r="C13" s="105"/>
      <c r="D13" s="105"/>
      <c r="E13" s="105"/>
      <c r="F13" s="105"/>
      <c r="G13" s="183">
        <f>D13-F13</f>
        <v>0</v>
      </c>
      <c r="H13" s="1" t="str">
        <f t="shared" si="1"/>
        <v/>
      </c>
      <c r="I13" s="31" t="str">
        <f t="shared" si="2"/>
        <v>Other fixed costs Var</v>
      </c>
    </row>
    <row r="14" spans="1:10">
      <c r="A14" s="327"/>
      <c r="B14" s="292" t="s">
        <v>40</v>
      </c>
      <c r="C14" s="176">
        <f>C4</f>
        <v>180</v>
      </c>
      <c r="D14" s="176">
        <f>D4</f>
        <v>200</v>
      </c>
      <c r="E14" s="176">
        <f>E4</f>
        <v>200</v>
      </c>
      <c r="F14" s="176">
        <f>F4</f>
        <v>200</v>
      </c>
      <c r="G14" s="183">
        <f t="shared" si="0"/>
        <v>0</v>
      </c>
      <c r="H14" s="1" t="str">
        <f t="shared" si="1"/>
        <v/>
      </c>
      <c r="I14" s="292" t="str">
        <f t="shared" si="2"/>
        <v>Labour Quantity Var</v>
      </c>
    </row>
    <row r="15" spans="1:10">
      <c r="A15" s="327"/>
      <c r="B15" s="292" t="s">
        <v>42</v>
      </c>
      <c r="C15" s="47">
        <v>24</v>
      </c>
      <c r="D15" s="47">
        <v>24</v>
      </c>
      <c r="E15" s="47">
        <v>24</v>
      </c>
      <c r="F15" s="47">
        <f>1638/70</f>
        <v>23.4</v>
      </c>
      <c r="G15" s="183">
        <f t="shared" si="0"/>
        <v>0.60000000000000142</v>
      </c>
      <c r="H15" s="1" t="str">
        <f t="shared" si="1"/>
        <v>F</v>
      </c>
      <c r="I15" s="292" t="str">
        <f t="shared" si="2"/>
        <v>Labour Unit Price Var</v>
      </c>
    </row>
    <row r="16" spans="1:10">
      <c r="A16" s="327"/>
      <c r="B16" s="292" t="s">
        <v>155</v>
      </c>
      <c r="C16" s="309">
        <v>0.33333333333333331</v>
      </c>
      <c r="D16" s="309">
        <v>0.33333333333333331</v>
      </c>
      <c r="E16" s="309">
        <f>F16</f>
        <v>0.35</v>
      </c>
      <c r="F16" s="309">
        <f>70/F4</f>
        <v>0.35</v>
      </c>
      <c r="G16" s="183"/>
      <c r="H16" s="1"/>
      <c r="I16" s="292" t="str">
        <f t="shared" si="2"/>
        <v>Labour per unit Var</v>
      </c>
    </row>
    <row r="17" spans="1:10">
      <c r="A17" s="327"/>
      <c r="B17" s="292" t="s">
        <v>41</v>
      </c>
      <c r="C17" s="105">
        <f>C16*C15*C14</f>
        <v>1440</v>
      </c>
      <c r="D17" s="105">
        <f>D16*D15*D14</f>
        <v>1600</v>
      </c>
      <c r="E17" s="105">
        <f>E16*E15*E14</f>
        <v>1679.9999999999998</v>
      </c>
      <c r="F17" s="105">
        <f>F16*F15*F14</f>
        <v>1638</v>
      </c>
      <c r="G17" s="183">
        <f>D17-F17</f>
        <v>-38</v>
      </c>
      <c r="H17" s="1" t="str">
        <f t="shared" si="1"/>
        <v>U</v>
      </c>
      <c r="I17" s="292" t="str">
        <f t="shared" si="2"/>
        <v>Labour Cost Var</v>
      </c>
    </row>
    <row r="18" spans="1:10">
      <c r="A18" s="327"/>
      <c r="B18" s="292" t="s">
        <v>44</v>
      </c>
      <c r="C18" s="176"/>
      <c r="D18" s="176"/>
      <c r="E18" s="176"/>
      <c r="F18" s="176"/>
      <c r="G18" s="183">
        <f>D18-F18</f>
        <v>0</v>
      </c>
      <c r="H18" s="1" t="str">
        <f t="shared" si="1"/>
        <v/>
      </c>
      <c r="I18" s="292" t="str">
        <f t="shared" si="2"/>
        <v>Overhead Quantity Var</v>
      </c>
    </row>
    <row r="19" spans="1:10">
      <c r="A19" s="327"/>
      <c r="B19" s="292" t="s">
        <v>45</v>
      </c>
      <c r="C19" s="177"/>
      <c r="D19" s="177"/>
      <c r="E19" s="177"/>
      <c r="F19" s="177"/>
      <c r="G19" s="183">
        <f t="shared" si="0"/>
        <v>0</v>
      </c>
      <c r="H19" s="1" t="str">
        <f t="shared" si="1"/>
        <v/>
      </c>
      <c r="I19" s="292" t="str">
        <f t="shared" si="2"/>
        <v>Overhead Unit Price Var</v>
      </c>
    </row>
    <row r="20" spans="1:10">
      <c r="A20" s="327"/>
      <c r="B20" s="292" t="s">
        <v>46</v>
      </c>
      <c r="C20" s="178"/>
      <c r="D20" s="178"/>
      <c r="E20" s="178"/>
      <c r="F20" s="178"/>
      <c r="G20" s="183">
        <f>C20-F20</f>
        <v>0</v>
      </c>
      <c r="H20" s="1" t="str">
        <f t="shared" si="1"/>
        <v/>
      </c>
      <c r="I20" s="292" t="str">
        <f t="shared" si="2"/>
        <v>Overhead Cost Var</v>
      </c>
    </row>
    <row r="21" spans="1:10">
      <c r="A21" s="292"/>
      <c r="B21" s="98" t="s">
        <v>47</v>
      </c>
      <c r="C21" s="99">
        <f>C6-C10-C12-C13-C17-C20</f>
        <v>2880</v>
      </c>
      <c r="D21" s="99">
        <f t="shared" ref="D21:F21" si="3">D6-D10-D12-D13-D17-D20</f>
        <v>3500</v>
      </c>
      <c r="E21" s="99">
        <f t="shared" si="3"/>
        <v>3920</v>
      </c>
      <c r="F21" s="99">
        <f t="shared" si="3"/>
        <v>2762</v>
      </c>
      <c r="G21" s="100">
        <f>F21-C21</f>
        <v>-118</v>
      </c>
      <c r="H21" s="1" t="str">
        <f t="shared" si="1"/>
        <v>U</v>
      </c>
      <c r="I21" s="292" t="str">
        <f t="shared" si="2"/>
        <v>Net Profit Var</v>
      </c>
      <c r="J21" s="229" t="s">
        <v>252</v>
      </c>
    </row>
    <row r="22" spans="1:10" ht="14.4" thickBot="1">
      <c r="C22" s="88"/>
      <c r="G22" s="2">
        <f>G6+G10+G12+G20</f>
        <v>80</v>
      </c>
      <c r="H22" s="233" t="str">
        <f t="shared" si="1"/>
        <v>F</v>
      </c>
    </row>
    <row r="23" spans="1:10" ht="14.4">
      <c r="A23" s="409" t="s">
        <v>204</v>
      </c>
      <c r="B23" s="410"/>
      <c r="C23" s="410"/>
      <c r="D23" s="410"/>
      <c r="E23" s="411"/>
      <c r="F23" s="93"/>
      <c r="G23" s="51"/>
    </row>
    <row r="24" spans="1:10" ht="14.4">
      <c r="A24" s="144"/>
      <c r="B24" s="145" t="s">
        <v>205</v>
      </c>
      <c r="C24" s="145" t="s">
        <v>206</v>
      </c>
      <c r="D24" s="145" t="s">
        <v>207</v>
      </c>
      <c r="E24" s="160" t="s">
        <v>208</v>
      </c>
      <c r="F24" s="93"/>
      <c r="G24" s="51"/>
    </row>
    <row r="25" spans="1:10" ht="14.4">
      <c r="A25" s="146" t="s">
        <v>209</v>
      </c>
      <c r="B25" s="147">
        <f>C4</f>
        <v>180</v>
      </c>
      <c r="C25" s="148"/>
      <c r="D25" s="207">
        <f>C5</f>
        <v>64</v>
      </c>
      <c r="E25" s="161">
        <f>B25*D25</f>
        <v>11520</v>
      </c>
      <c r="F25" s="93"/>
      <c r="G25" s="51"/>
    </row>
    <row r="26" spans="1:10" ht="14.4">
      <c r="A26" s="146" t="s">
        <v>7</v>
      </c>
      <c r="B26" s="149">
        <f>B25</f>
        <v>180</v>
      </c>
      <c r="C26" s="231">
        <f>C7</f>
        <v>5</v>
      </c>
      <c r="D26" s="215">
        <f>C9</f>
        <v>5</v>
      </c>
      <c r="E26" s="163">
        <f>B26*C26*D26</f>
        <v>4500</v>
      </c>
      <c r="F26" s="93"/>
      <c r="G26" s="51"/>
    </row>
    <row r="27" spans="1:10" ht="14.4">
      <c r="A27" s="146" t="s">
        <v>111</v>
      </c>
      <c r="B27" s="149">
        <f>B26</f>
        <v>180</v>
      </c>
      <c r="C27" s="157">
        <f>C16</f>
        <v>0.33333333333333331</v>
      </c>
      <c r="D27" s="162">
        <f>C15</f>
        <v>24</v>
      </c>
      <c r="E27" s="163">
        <f>B27*C27*D27</f>
        <v>1440</v>
      </c>
      <c r="F27" s="93"/>
      <c r="G27" s="51"/>
    </row>
    <row r="28" spans="1:10" ht="14.4">
      <c r="A28" s="146" t="s">
        <v>235</v>
      </c>
      <c r="B28" s="149">
        <f>C18</f>
        <v>0</v>
      </c>
      <c r="C28" s="157">
        <f>C18/C4</f>
        <v>0</v>
      </c>
      <c r="D28" s="162">
        <f>C19</f>
        <v>0</v>
      </c>
      <c r="E28" s="163">
        <f>B28*C28*D28</f>
        <v>0</v>
      </c>
      <c r="F28" s="93"/>
      <c r="G28" s="51"/>
    </row>
    <row r="29" spans="1:10" ht="14.4">
      <c r="A29" s="146" t="s">
        <v>82</v>
      </c>
      <c r="B29" s="230">
        <f>C12</f>
        <v>2700</v>
      </c>
      <c r="C29" s="157"/>
      <c r="D29" s="158"/>
      <c r="E29" s="163">
        <f>B29</f>
        <v>2700</v>
      </c>
      <c r="F29" s="93"/>
      <c r="G29" s="51"/>
    </row>
    <row r="30" spans="1:10" ht="14.4">
      <c r="A30" s="189" t="s">
        <v>236</v>
      </c>
      <c r="B30" s="150"/>
      <c r="C30" s="157"/>
      <c r="D30" s="158"/>
      <c r="E30" s="163"/>
      <c r="F30" s="93"/>
      <c r="G30" s="51"/>
    </row>
    <row r="31" spans="1:10" ht="14.4">
      <c r="A31" s="152" t="s">
        <v>125</v>
      </c>
      <c r="B31" s="153"/>
      <c r="C31" s="154"/>
      <c r="D31" s="155"/>
      <c r="E31" s="164">
        <f>E25-E26-E27-E28-E29-E30</f>
        <v>2880</v>
      </c>
      <c r="F31" s="93"/>
      <c r="G31" s="51"/>
    </row>
    <row r="32" spans="1:10" ht="14.4">
      <c r="A32" s="144"/>
      <c r="B32" s="157"/>
      <c r="C32" s="157"/>
      <c r="D32" s="157"/>
      <c r="E32" s="165"/>
      <c r="F32" s="93"/>
      <c r="G32" s="51"/>
    </row>
    <row r="33" spans="1:12" ht="14.4">
      <c r="A33" s="412" t="s">
        <v>214</v>
      </c>
      <c r="B33" s="413"/>
      <c r="C33" s="413"/>
      <c r="D33" s="413"/>
      <c r="E33" s="414"/>
      <c r="F33" s="93"/>
      <c r="G33" s="51"/>
    </row>
    <row r="34" spans="1:12" ht="14.4">
      <c r="A34" s="144"/>
      <c r="B34" s="145" t="s">
        <v>212</v>
      </c>
      <c r="C34" s="145" t="s">
        <v>206</v>
      </c>
      <c r="D34" s="145" t="s">
        <v>213</v>
      </c>
      <c r="E34" s="160" t="s">
        <v>208</v>
      </c>
      <c r="F34" s="93"/>
      <c r="G34" s="51"/>
    </row>
    <row r="35" spans="1:12" ht="14.4">
      <c r="A35" s="146" t="s">
        <v>209</v>
      </c>
      <c r="B35" s="147">
        <f>D4</f>
        <v>200</v>
      </c>
      <c r="C35" s="148"/>
      <c r="D35" s="207">
        <f>D5</f>
        <v>64</v>
      </c>
      <c r="E35" s="161">
        <f>B35*D35</f>
        <v>12800</v>
      </c>
      <c r="F35" s="94"/>
      <c r="G35" s="51"/>
    </row>
    <row r="36" spans="1:12" ht="14.4">
      <c r="A36" s="146" t="s">
        <v>210</v>
      </c>
      <c r="B36" s="149">
        <f>B35</f>
        <v>200</v>
      </c>
      <c r="C36" s="231">
        <f>D7</f>
        <v>5</v>
      </c>
      <c r="D36" s="215">
        <f>D9</f>
        <v>5</v>
      </c>
      <c r="E36" s="163">
        <f>B36*C36*D36</f>
        <v>5000</v>
      </c>
      <c r="F36" s="94"/>
      <c r="G36" s="51"/>
    </row>
    <row r="37" spans="1:12" ht="14.4">
      <c r="A37" s="146" t="s">
        <v>111</v>
      </c>
      <c r="B37" s="149">
        <f>B36</f>
        <v>200</v>
      </c>
      <c r="C37" s="157">
        <f>D16</f>
        <v>0.33333333333333331</v>
      </c>
      <c r="D37" s="162">
        <f>D15</f>
        <v>24</v>
      </c>
      <c r="E37" s="163">
        <f>B37*C37*D37</f>
        <v>1599.9999999999998</v>
      </c>
      <c r="F37" s="93"/>
      <c r="G37" s="51"/>
    </row>
    <row r="38" spans="1:12" ht="14.4">
      <c r="A38" s="146" t="s">
        <v>235</v>
      </c>
      <c r="B38" s="149">
        <f>D4</f>
        <v>200</v>
      </c>
      <c r="C38" s="157">
        <f>D18/D4</f>
        <v>0</v>
      </c>
      <c r="D38" s="162">
        <f>D19</f>
        <v>0</v>
      </c>
      <c r="E38" s="163">
        <f>B38*C38*D38</f>
        <v>0</v>
      </c>
      <c r="F38" s="93"/>
      <c r="G38" s="51"/>
    </row>
    <row r="39" spans="1:12" ht="14.4">
      <c r="A39" s="146" t="s">
        <v>82</v>
      </c>
      <c r="B39" s="230">
        <f>D12</f>
        <v>2700</v>
      </c>
      <c r="C39" s="157"/>
      <c r="D39" s="158"/>
      <c r="E39" s="163">
        <f>B39</f>
        <v>2700</v>
      </c>
      <c r="F39" s="93"/>
      <c r="G39" s="51"/>
    </row>
    <row r="40" spans="1:12" ht="14.4">
      <c r="A40" s="189" t="s">
        <v>236</v>
      </c>
      <c r="B40" s="150"/>
      <c r="C40" s="157"/>
      <c r="D40" s="158"/>
      <c r="E40" s="163"/>
      <c r="F40" s="93"/>
      <c r="G40" s="51"/>
    </row>
    <row r="41" spans="1:12" ht="14.4">
      <c r="A41" s="152" t="s">
        <v>125</v>
      </c>
      <c r="B41" s="153"/>
      <c r="C41" s="154"/>
      <c r="D41" s="155"/>
      <c r="E41" s="164">
        <f>E35-E36-E37-E38-E39-E40</f>
        <v>3500</v>
      </c>
      <c r="F41" s="93"/>
      <c r="G41" s="51"/>
    </row>
    <row r="42" spans="1:12" ht="14.4">
      <c r="A42" s="144"/>
      <c r="B42" s="157"/>
      <c r="C42" s="157"/>
      <c r="D42" s="158"/>
      <c r="E42" s="166"/>
      <c r="F42" s="93"/>
      <c r="G42" s="51"/>
    </row>
    <row r="43" spans="1:12" ht="15" thickBot="1">
      <c r="A43" s="415" t="s">
        <v>219</v>
      </c>
      <c r="B43" s="416"/>
      <c r="C43" s="416"/>
      <c r="D43" s="416"/>
      <c r="E43" s="417"/>
      <c r="F43" s="93"/>
      <c r="G43" s="51"/>
    </row>
    <row r="44" spans="1:12" ht="14.4">
      <c r="A44" s="144"/>
      <c r="B44" s="145" t="s">
        <v>215</v>
      </c>
      <c r="C44" s="145" t="s">
        <v>12</v>
      </c>
      <c r="D44" s="145" t="s">
        <v>207</v>
      </c>
      <c r="E44" s="160" t="s">
        <v>208</v>
      </c>
      <c r="F44" s="93"/>
      <c r="G44" s="51"/>
      <c r="H44" s="72"/>
      <c r="I44" s="418" t="s">
        <v>188</v>
      </c>
      <c r="J44" s="418"/>
      <c r="K44" s="418"/>
      <c r="L44" s="73"/>
    </row>
    <row r="45" spans="1:12" ht="14.4">
      <c r="A45" s="146" t="s">
        <v>209</v>
      </c>
      <c r="B45" s="147">
        <f>E4</f>
        <v>200</v>
      </c>
      <c r="C45" s="148"/>
      <c r="D45" s="207">
        <f>E5</f>
        <v>64</v>
      </c>
      <c r="E45" s="161">
        <f>B45*D45</f>
        <v>12800</v>
      </c>
      <c r="F45" s="93"/>
      <c r="G45" s="51"/>
      <c r="H45" s="74"/>
      <c r="I45" s="419"/>
      <c r="J45" s="419"/>
      <c r="K45" s="419"/>
      <c r="L45" s="75"/>
    </row>
    <row r="46" spans="1:12" ht="14.4">
      <c r="A46" s="146" t="s">
        <v>210</v>
      </c>
      <c r="B46" s="149">
        <f>B45</f>
        <v>200</v>
      </c>
      <c r="C46" s="231">
        <f>E7</f>
        <v>4.5</v>
      </c>
      <c r="D46" s="215">
        <f>E9</f>
        <v>5</v>
      </c>
      <c r="E46" s="163">
        <f>B46*C46*D46</f>
        <v>4500</v>
      </c>
      <c r="F46" s="93"/>
      <c r="G46" s="51"/>
      <c r="H46" s="74"/>
      <c r="I46" s="51" t="s">
        <v>192</v>
      </c>
      <c r="J46" s="61">
        <v>0</v>
      </c>
      <c r="K46" s="51"/>
      <c r="L46" s="75"/>
    </row>
    <row r="47" spans="1:12" ht="14.4">
      <c r="A47" s="146" t="s">
        <v>111</v>
      </c>
      <c r="B47" s="149">
        <f>B46</f>
        <v>200</v>
      </c>
      <c r="C47" s="157">
        <f>E16</f>
        <v>0.35</v>
      </c>
      <c r="D47" s="162">
        <f>E15</f>
        <v>24</v>
      </c>
      <c r="E47" s="163">
        <f>B47*C47*D47</f>
        <v>1680</v>
      </c>
      <c r="F47" s="93"/>
      <c r="G47" s="51"/>
      <c r="H47" s="74"/>
      <c r="I47" s="51"/>
      <c r="J47" s="51"/>
      <c r="K47" s="51"/>
      <c r="L47" s="75"/>
    </row>
    <row r="48" spans="1:12" ht="14.4">
      <c r="A48" s="146" t="s">
        <v>235</v>
      </c>
      <c r="B48" s="149">
        <f>E18</f>
        <v>0</v>
      </c>
      <c r="C48" s="157">
        <f>E18/E4</f>
        <v>0</v>
      </c>
      <c r="D48" s="162">
        <f>E19</f>
        <v>0</v>
      </c>
      <c r="E48" s="163">
        <f>B48*C48*D48</f>
        <v>0</v>
      </c>
      <c r="F48" s="93"/>
      <c r="G48" s="51"/>
      <c r="H48" s="74"/>
      <c r="I48" s="69" t="s">
        <v>189</v>
      </c>
      <c r="J48" s="70" t="s">
        <v>190</v>
      </c>
      <c r="K48" s="71" t="s">
        <v>191</v>
      </c>
      <c r="L48" s="75"/>
    </row>
    <row r="49" spans="1:12" ht="14.4">
      <c r="A49" s="146" t="s">
        <v>82</v>
      </c>
      <c r="B49" s="230">
        <f>E12</f>
        <v>2700</v>
      </c>
      <c r="C49" s="157"/>
      <c r="D49" s="158"/>
      <c r="E49" s="163">
        <f>B49</f>
        <v>2700</v>
      </c>
      <c r="F49" s="93"/>
      <c r="G49" s="51"/>
      <c r="H49" s="74"/>
      <c r="I49" s="56" t="s">
        <v>167</v>
      </c>
      <c r="J49" s="51">
        <v>8</v>
      </c>
      <c r="K49" s="57">
        <v>12</v>
      </c>
      <c r="L49" s="75"/>
    </row>
    <row r="50" spans="1:12" ht="14.4">
      <c r="A50" s="189" t="s">
        <v>236</v>
      </c>
      <c r="B50" s="150"/>
      <c r="C50" s="157"/>
      <c r="D50" s="158"/>
      <c r="E50" s="163"/>
      <c r="F50" s="93"/>
      <c r="G50" s="51"/>
      <c r="H50" s="74"/>
      <c r="I50" s="56" t="s">
        <v>168</v>
      </c>
      <c r="J50" s="51">
        <v>32</v>
      </c>
      <c r="K50" s="57">
        <v>40</v>
      </c>
      <c r="L50" s="75"/>
    </row>
    <row r="51" spans="1:12" ht="14.4">
      <c r="A51" s="152" t="s">
        <v>125</v>
      </c>
      <c r="B51" s="153"/>
      <c r="C51" s="154"/>
      <c r="D51" s="155"/>
      <c r="E51" s="164">
        <f>+E45-E46-E47-E48-E49-E50</f>
        <v>3920</v>
      </c>
      <c r="F51" s="93"/>
      <c r="G51" s="51"/>
      <c r="H51" s="74"/>
      <c r="I51" s="79" t="s">
        <v>171</v>
      </c>
      <c r="J51" s="195">
        <f>K51*(1-0.05)</f>
        <v>2623.9</v>
      </c>
      <c r="K51" s="195">
        <f>B105</f>
        <v>2762</v>
      </c>
      <c r="L51" s="75"/>
    </row>
    <row r="52" spans="1:12" ht="15" thickBot="1">
      <c r="A52" s="144"/>
      <c r="B52" s="157"/>
      <c r="C52" s="157"/>
      <c r="D52" s="158"/>
      <c r="E52" s="165"/>
      <c r="F52" s="93"/>
      <c r="G52" s="51"/>
      <c r="H52" s="76"/>
      <c r="I52" s="77"/>
      <c r="J52" s="77"/>
      <c r="K52" s="77"/>
      <c r="L52" s="78"/>
    </row>
    <row r="53" spans="1:12" ht="14.4">
      <c r="A53" s="406" t="s">
        <v>211</v>
      </c>
      <c r="B53" s="407"/>
      <c r="C53" s="407"/>
      <c r="D53" s="407"/>
      <c r="E53" s="408"/>
      <c r="F53" s="93"/>
      <c r="G53" s="51"/>
    </row>
    <row r="54" spans="1:12" ht="14.4">
      <c r="A54" s="144"/>
      <c r="B54" s="159" t="s">
        <v>215</v>
      </c>
      <c r="C54" s="159" t="s">
        <v>12</v>
      </c>
      <c r="D54" s="159" t="s">
        <v>207</v>
      </c>
      <c r="E54" s="167" t="s">
        <v>208</v>
      </c>
      <c r="F54" s="93"/>
      <c r="G54" s="51"/>
    </row>
    <row r="55" spans="1:12" ht="14.4">
      <c r="A55" s="146" t="s">
        <v>209</v>
      </c>
      <c r="B55" s="147">
        <f>F4</f>
        <v>200</v>
      </c>
      <c r="C55" s="148"/>
      <c r="D55" s="207">
        <f>F5</f>
        <v>64</v>
      </c>
      <c r="E55" s="161">
        <f>B55*D55</f>
        <v>12800</v>
      </c>
      <c r="F55" s="93"/>
      <c r="G55" s="51"/>
    </row>
    <row r="56" spans="1:12" ht="14.4">
      <c r="A56" s="146" t="s">
        <v>210</v>
      </c>
      <c r="B56" s="149">
        <f>B55</f>
        <v>200</v>
      </c>
      <c r="C56" s="231">
        <f>F7</f>
        <v>4.5</v>
      </c>
      <c r="D56" s="215">
        <f>F9</f>
        <v>6</v>
      </c>
      <c r="E56" s="163">
        <f>B56*C56*D56</f>
        <v>5400</v>
      </c>
      <c r="F56" s="93"/>
      <c r="G56" s="51"/>
    </row>
    <row r="57" spans="1:12" ht="14.4">
      <c r="A57" s="146" t="s">
        <v>111</v>
      </c>
      <c r="B57" s="149">
        <f>B56</f>
        <v>200</v>
      </c>
      <c r="C57" s="157">
        <f>E16</f>
        <v>0.35</v>
      </c>
      <c r="D57" s="162">
        <f>F15</f>
        <v>23.4</v>
      </c>
      <c r="E57" s="163">
        <f>B57*C57*D57</f>
        <v>1638</v>
      </c>
      <c r="F57" s="93"/>
      <c r="G57" s="51"/>
    </row>
    <row r="58" spans="1:12" ht="14.4">
      <c r="A58" s="146" t="s">
        <v>235</v>
      </c>
      <c r="B58" s="149">
        <f>F18</f>
        <v>0</v>
      </c>
      <c r="C58" s="157">
        <f>F18/F4</f>
        <v>0</v>
      </c>
      <c r="D58" s="162">
        <f>F19</f>
        <v>0</v>
      </c>
      <c r="E58" s="163">
        <f>B58*C58*D58</f>
        <v>0</v>
      </c>
      <c r="F58" s="93"/>
      <c r="G58" s="51"/>
    </row>
    <row r="59" spans="1:12" ht="14.4">
      <c r="A59" s="146" t="s">
        <v>82</v>
      </c>
      <c r="B59" s="230">
        <f>F12</f>
        <v>3000</v>
      </c>
      <c r="C59" s="157"/>
      <c r="D59" s="158"/>
      <c r="E59" s="163">
        <f>B59</f>
        <v>3000</v>
      </c>
      <c r="F59" s="93"/>
      <c r="G59" s="51"/>
    </row>
    <row r="60" spans="1:12" ht="14.4">
      <c r="A60" s="189" t="s">
        <v>236</v>
      </c>
      <c r="B60" s="150"/>
      <c r="C60" s="157"/>
      <c r="D60" s="158"/>
      <c r="E60" s="163"/>
      <c r="F60" s="93"/>
      <c r="G60" s="51"/>
    </row>
    <row r="61" spans="1:12" ht="15" thickBot="1">
      <c r="A61" s="168" t="s">
        <v>125</v>
      </c>
      <c r="B61" s="169"/>
      <c r="C61" s="170"/>
      <c r="D61" s="171"/>
      <c r="E61" s="172">
        <f>+E55-E56-E57-E58-E59-E60</f>
        <v>2762</v>
      </c>
      <c r="F61" s="93"/>
      <c r="G61" s="51"/>
    </row>
    <row r="62" spans="1:12" ht="45" customHeight="1">
      <c r="A62" s="371"/>
      <c r="B62" s="372"/>
      <c r="C62" s="372"/>
      <c r="D62" s="372"/>
      <c r="E62" s="372"/>
      <c r="F62" s="372"/>
      <c r="G62" s="372"/>
    </row>
    <row r="63" spans="1:12" ht="28.95" customHeight="1" thickBot="1">
      <c r="A63" s="391" t="s">
        <v>187</v>
      </c>
      <c r="B63" s="391"/>
      <c r="C63" s="391"/>
      <c r="D63" s="391"/>
      <c r="E63" s="391"/>
      <c r="G63" s="51"/>
    </row>
    <row r="64" spans="1:12" ht="19.95" customHeight="1">
      <c r="A64" s="393" t="s">
        <v>234</v>
      </c>
      <c r="B64" s="394"/>
      <c r="C64" s="394"/>
      <c r="D64" s="394"/>
      <c r="E64" s="395"/>
      <c r="F64" s="130"/>
    </row>
    <row r="65" spans="1:11" ht="16.95" customHeight="1">
      <c r="A65" s="396"/>
      <c r="B65" s="397"/>
      <c r="C65" s="397"/>
      <c r="D65" s="397"/>
      <c r="E65" s="398"/>
      <c r="F65" s="51"/>
    </row>
    <row r="66" spans="1:11" ht="24" customHeight="1">
      <c r="A66" s="399" t="s">
        <v>232</v>
      </c>
      <c r="B66" s="400"/>
      <c r="C66" s="210" t="s">
        <v>224</v>
      </c>
      <c r="D66" s="213">
        <f>(E41-E31)</f>
        <v>620</v>
      </c>
      <c r="E66" s="211" t="str">
        <f>IF(D66&gt;0,"F","U")</f>
        <v>F</v>
      </c>
      <c r="F66" s="51"/>
    </row>
    <row r="67" spans="1:11" ht="16.05" customHeight="1">
      <c r="A67" s="401"/>
      <c r="B67" s="402"/>
      <c r="C67" s="132" t="s">
        <v>7</v>
      </c>
      <c r="D67" s="129">
        <f>C10-D10</f>
        <v>-500</v>
      </c>
      <c r="E67" s="135" t="str">
        <f>IF(D67&gt;0,"F","U")</f>
        <v>U</v>
      </c>
      <c r="F67" s="375" t="s">
        <v>231</v>
      </c>
      <c r="G67" s="375"/>
      <c r="H67" s="375"/>
      <c r="I67" s="375"/>
    </row>
    <row r="68" spans="1:11" ht="16.05" customHeight="1">
      <c r="A68" s="401"/>
      <c r="B68" s="402"/>
      <c r="C68" s="56" t="s">
        <v>111</v>
      </c>
      <c r="D68" s="2">
        <f>C17-D17</f>
        <v>-160</v>
      </c>
      <c r="E68" s="135" t="str">
        <f t="shared" ref="E68:E86" si="4">IF(D68&gt;0,"F","U")</f>
        <v>U</v>
      </c>
      <c r="F68" s="375"/>
      <c r="G68" s="375"/>
      <c r="H68" s="375"/>
      <c r="I68" s="375"/>
    </row>
    <row r="69" spans="1:11" ht="16.05" customHeight="1">
      <c r="A69" s="401"/>
      <c r="B69" s="402"/>
      <c r="C69" s="133" t="s">
        <v>235</v>
      </c>
      <c r="D69" s="2">
        <f>C20-D20</f>
        <v>0</v>
      </c>
      <c r="E69" s="135" t="str">
        <f t="shared" si="4"/>
        <v>U</v>
      </c>
      <c r="F69" s="375"/>
      <c r="G69" s="375"/>
      <c r="H69" s="375"/>
      <c r="I69" s="375"/>
    </row>
    <row r="70" spans="1:11" ht="16.05" customHeight="1">
      <c r="A70" s="228"/>
      <c r="B70" s="405" t="s">
        <v>225</v>
      </c>
      <c r="C70" s="405"/>
      <c r="D70" s="265">
        <f>D67+D68+D69</f>
        <v>-660</v>
      </c>
      <c r="E70" s="135" t="str">
        <f t="shared" si="4"/>
        <v>U</v>
      </c>
      <c r="F70" s="192"/>
      <c r="G70" s="192"/>
      <c r="H70" s="192"/>
      <c r="I70" s="192"/>
    </row>
    <row r="71" spans="1:11" ht="14.4">
      <c r="A71" s="74"/>
      <c r="B71" s="378" t="s">
        <v>178</v>
      </c>
      <c r="C71" s="379"/>
      <c r="D71" s="132">
        <f>(D36-D26)*B46*C46</f>
        <v>0</v>
      </c>
      <c r="E71" s="135" t="str">
        <f t="shared" si="4"/>
        <v>U</v>
      </c>
      <c r="F71" s="377" t="s">
        <v>179</v>
      </c>
      <c r="G71" s="377"/>
      <c r="H71" s="377"/>
      <c r="I71" s="377"/>
      <c r="J71" s="190"/>
      <c r="K71" s="190"/>
    </row>
    <row r="72" spans="1:11" ht="14.4">
      <c r="A72" s="74"/>
      <c r="B72" s="380" t="s">
        <v>180</v>
      </c>
      <c r="C72" s="381"/>
      <c r="D72" s="266">
        <f>(B55-B25)*D25</f>
        <v>1280</v>
      </c>
      <c r="E72" s="135" t="str">
        <f t="shared" si="4"/>
        <v>F</v>
      </c>
      <c r="F72" s="377" t="s">
        <v>181</v>
      </c>
      <c r="G72" s="377"/>
      <c r="H72" s="377"/>
      <c r="I72" s="377"/>
      <c r="J72" s="191"/>
      <c r="K72" s="190"/>
    </row>
    <row r="73" spans="1:11" ht="14.4">
      <c r="A73" s="74"/>
      <c r="B73" s="51"/>
      <c r="C73" s="131" t="s">
        <v>182</v>
      </c>
      <c r="D73" s="267">
        <f>(E61-E31)*J46*D25</f>
        <v>0</v>
      </c>
      <c r="E73" s="135" t="str">
        <f t="shared" si="4"/>
        <v>U</v>
      </c>
      <c r="F73" s="377" t="s">
        <v>183</v>
      </c>
      <c r="G73" s="377"/>
      <c r="H73" s="377"/>
      <c r="I73" s="377"/>
      <c r="J73" s="296"/>
    </row>
    <row r="74" spans="1:11" ht="14.4">
      <c r="A74" s="193"/>
      <c r="B74" s="89"/>
      <c r="C74" s="128" t="s">
        <v>184</v>
      </c>
      <c r="D74" s="194">
        <f>D72-D73</f>
        <v>1280</v>
      </c>
      <c r="E74" s="135" t="str">
        <f t="shared" si="4"/>
        <v>F</v>
      </c>
      <c r="F74" s="376"/>
      <c r="G74" s="376"/>
      <c r="H74" s="376"/>
      <c r="I74" s="376"/>
      <c r="J74" s="376"/>
    </row>
    <row r="75" spans="1:11" ht="25.05" customHeight="1">
      <c r="A75" s="399" t="s">
        <v>227</v>
      </c>
      <c r="B75" s="400"/>
      <c r="C75" s="210" t="s">
        <v>175</v>
      </c>
      <c r="D75" s="213">
        <f>(D55-D25)*B55</f>
        <v>0</v>
      </c>
      <c r="E75" s="135" t="str">
        <f t="shared" si="4"/>
        <v>U</v>
      </c>
      <c r="F75" s="377" t="s">
        <v>179</v>
      </c>
      <c r="G75" s="377"/>
      <c r="H75" s="377"/>
      <c r="I75" s="377"/>
    </row>
    <row r="76" spans="1:11" ht="22.05" customHeight="1">
      <c r="A76" s="401"/>
      <c r="B76" s="402"/>
      <c r="C76" s="210" t="s">
        <v>250</v>
      </c>
      <c r="D76" s="212">
        <f>D78</f>
        <v>-438.00000000000011</v>
      </c>
      <c r="E76" s="135" t="str">
        <f t="shared" si="4"/>
        <v>U</v>
      </c>
      <c r="F76" s="376"/>
      <c r="G76" s="376"/>
      <c r="H76" s="376"/>
      <c r="I76" s="376"/>
      <c r="J76" s="376"/>
    </row>
    <row r="77" spans="1:11" ht="24" customHeight="1">
      <c r="A77" s="401"/>
      <c r="B77" s="402"/>
      <c r="C77" s="210" t="s">
        <v>251</v>
      </c>
      <c r="D77" s="213">
        <f>(E29-E59)+(E30-E60)</f>
        <v>-300</v>
      </c>
      <c r="E77" s="135" t="str">
        <f t="shared" si="4"/>
        <v>U</v>
      </c>
      <c r="G77" s="58"/>
      <c r="H77" s="58"/>
      <c r="I77" s="58"/>
      <c r="J77" s="58"/>
    </row>
    <row r="78" spans="1:11" ht="16.05" customHeight="1">
      <c r="A78" s="208"/>
      <c r="B78" s="403" t="s">
        <v>250</v>
      </c>
      <c r="C78" s="404"/>
      <c r="D78" s="209">
        <f>+D82+D86</f>
        <v>-438.00000000000011</v>
      </c>
      <c r="E78" s="135" t="str">
        <f t="shared" si="4"/>
        <v>U</v>
      </c>
      <c r="G78" s="58"/>
      <c r="H78" s="58"/>
      <c r="I78" s="58"/>
      <c r="J78" s="58"/>
    </row>
    <row r="79" spans="1:11" ht="13.8" customHeight="1">
      <c r="A79" s="388"/>
      <c r="B79" s="382" t="s">
        <v>227</v>
      </c>
      <c r="C79" s="141" t="s">
        <v>7</v>
      </c>
      <c r="D79" s="142">
        <f>(D26-D56)*C56*B56</f>
        <v>-900</v>
      </c>
      <c r="E79" s="135" t="str">
        <f t="shared" si="4"/>
        <v>U</v>
      </c>
      <c r="F79" s="373" t="s">
        <v>258</v>
      </c>
      <c r="G79" s="374"/>
      <c r="H79" s="374"/>
      <c r="I79" s="374"/>
    </row>
    <row r="80" spans="1:11" ht="13.8" customHeight="1">
      <c r="A80" s="388"/>
      <c r="B80" s="383"/>
      <c r="C80" s="56" t="s">
        <v>111</v>
      </c>
      <c r="D80" s="2">
        <f>(D27-D57)*B57*C57</f>
        <v>42.000000000000099</v>
      </c>
      <c r="E80" s="135" t="str">
        <f t="shared" si="4"/>
        <v>F</v>
      </c>
      <c r="F80" s="374"/>
      <c r="G80" s="374"/>
      <c r="H80" s="374"/>
      <c r="I80" s="374"/>
    </row>
    <row r="81" spans="1:10" ht="13.8" customHeight="1">
      <c r="A81" s="388"/>
      <c r="B81" s="383"/>
      <c r="C81" s="133" t="s">
        <v>226</v>
      </c>
      <c r="D81" s="2">
        <f>(D28-D58)*B58*C58</f>
        <v>0</v>
      </c>
      <c r="E81" s="135" t="str">
        <f t="shared" si="4"/>
        <v>U</v>
      </c>
      <c r="F81" s="374"/>
      <c r="G81" s="374"/>
      <c r="H81" s="374"/>
      <c r="I81" s="374"/>
    </row>
    <row r="82" spans="1:10" ht="13.8" customHeight="1">
      <c r="A82" s="388"/>
      <c r="B82" s="384"/>
      <c r="C82" s="134" t="s">
        <v>229</v>
      </c>
      <c r="D82" s="265">
        <f>D79+D80+D81</f>
        <v>-857.99999999999989</v>
      </c>
      <c r="E82" s="135" t="str">
        <f t="shared" si="4"/>
        <v>U</v>
      </c>
      <c r="F82" s="192"/>
      <c r="G82" s="192"/>
      <c r="H82" s="192"/>
      <c r="I82" s="192"/>
    </row>
    <row r="83" spans="1:10" ht="13.8" customHeight="1">
      <c r="A83" s="388"/>
      <c r="B83" s="385" t="s">
        <v>228</v>
      </c>
      <c r="C83" s="132" t="s">
        <v>7</v>
      </c>
      <c r="D83" s="129">
        <f>(C36-C56)*D26*B56</f>
        <v>500</v>
      </c>
      <c r="E83" s="135" t="str">
        <f t="shared" si="4"/>
        <v>F</v>
      </c>
      <c r="F83" s="375" t="s">
        <v>259</v>
      </c>
      <c r="G83" s="374"/>
      <c r="H83" s="374"/>
      <c r="I83" s="374"/>
    </row>
    <row r="84" spans="1:10" ht="13.8" customHeight="1">
      <c r="A84" s="388"/>
      <c r="B84" s="386"/>
      <c r="C84" s="56" t="s">
        <v>111</v>
      </c>
      <c r="D84" s="2">
        <f>(C37*B37-C57*B57)*D27</f>
        <v>-80.000000000000227</v>
      </c>
      <c r="E84" s="135" t="str">
        <f t="shared" si="4"/>
        <v>U</v>
      </c>
      <c r="F84" s="374"/>
      <c r="G84" s="374"/>
      <c r="H84" s="374"/>
      <c r="I84" s="374"/>
      <c r="J84" s="232"/>
    </row>
    <row r="85" spans="1:10" ht="13.8" customHeight="1">
      <c r="A85" s="388"/>
      <c r="B85" s="386"/>
      <c r="C85" s="133" t="s">
        <v>226</v>
      </c>
      <c r="D85" s="2">
        <f>(C38*B38-C58*B58)*D28</f>
        <v>0</v>
      </c>
      <c r="E85" s="135" t="str">
        <f t="shared" si="4"/>
        <v>U</v>
      </c>
      <c r="F85" s="374"/>
      <c r="G85" s="374"/>
      <c r="H85" s="374"/>
      <c r="I85" s="374"/>
      <c r="J85" s="232"/>
    </row>
    <row r="86" spans="1:10" ht="14.4" customHeight="1" thickBot="1">
      <c r="A86" s="389"/>
      <c r="B86" s="387"/>
      <c r="C86" s="138" t="s">
        <v>230</v>
      </c>
      <c r="D86" s="139">
        <f>D83+D84+D85</f>
        <v>419.99999999999977</v>
      </c>
      <c r="E86" s="135" t="str">
        <f t="shared" si="4"/>
        <v>F</v>
      </c>
    </row>
    <row r="87" spans="1:10">
      <c r="D87" s="2">
        <f>D66+D75+D76+D77</f>
        <v>-118.00000000000011</v>
      </c>
    </row>
    <row r="88" spans="1:10" ht="14.4">
      <c r="A88" s="92"/>
      <c r="B88" s="91"/>
      <c r="C88" s="91"/>
      <c r="D88" s="91"/>
      <c r="E88" s="91"/>
    </row>
    <row r="89" spans="1:10" ht="31.95" customHeight="1">
      <c r="A89" s="390" t="s">
        <v>199</v>
      </c>
      <c r="B89" s="391"/>
      <c r="C89" s="391"/>
      <c r="D89" s="391"/>
      <c r="E89" s="391"/>
    </row>
    <row r="90" spans="1:10" ht="14.4">
      <c r="A90" s="173" t="s">
        <v>200</v>
      </c>
      <c r="B90" s="275">
        <f>C21</f>
        <v>2880</v>
      </c>
      <c r="C90" s="278"/>
      <c r="D90" s="91"/>
      <c r="E90" s="93"/>
      <c r="G90" s="88"/>
    </row>
    <row r="91" spans="1:10" ht="16.05" customHeight="1">
      <c r="A91" s="173" t="s">
        <v>263</v>
      </c>
      <c r="B91" s="277">
        <f>D66+D75</f>
        <v>620</v>
      </c>
      <c r="C91" s="279" t="str">
        <f>IF(B91&gt;0,"F","U")</f>
        <v>F</v>
      </c>
      <c r="D91" s="91"/>
      <c r="E91" s="93"/>
      <c r="G91" s="88"/>
    </row>
    <row r="92" spans="1:10" ht="16.05" customHeight="1">
      <c r="A92" s="282" t="s">
        <v>201</v>
      </c>
      <c r="B92" s="276">
        <f>B93+B94</f>
        <v>780</v>
      </c>
      <c r="C92" s="279" t="str">
        <f t="shared" ref="C92:C104" si="5">IF(B92&gt;0,"F","U")</f>
        <v>F</v>
      </c>
      <c r="D92" s="370" t="s">
        <v>216</v>
      </c>
      <c r="E92" s="370"/>
      <c r="F92" s="185"/>
      <c r="G92" s="185"/>
    </row>
    <row r="93" spans="1:10" ht="16.05" customHeight="1">
      <c r="A93" s="274" t="s">
        <v>299</v>
      </c>
      <c r="B93" s="283">
        <f>D72</f>
        <v>1280</v>
      </c>
      <c r="C93" s="279" t="str">
        <f t="shared" si="5"/>
        <v>F</v>
      </c>
      <c r="D93" s="297"/>
      <c r="E93" s="297"/>
      <c r="F93" s="185"/>
      <c r="G93" s="185"/>
    </row>
    <row r="94" spans="1:10" ht="18">
      <c r="A94" s="274" t="s">
        <v>300</v>
      </c>
      <c r="B94" s="283">
        <f>D67</f>
        <v>-500</v>
      </c>
      <c r="C94" s="279" t="str">
        <f t="shared" si="5"/>
        <v>U</v>
      </c>
      <c r="D94" s="297"/>
      <c r="E94" s="297"/>
      <c r="F94" s="185"/>
      <c r="G94" s="185"/>
    </row>
    <row r="95" spans="1:10" ht="18">
      <c r="A95" s="274" t="s">
        <v>301</v>
      </c>
      <c r="B95" s="283">
        <f>D68</f>
        <v>-160</v>
      </c>
      <c r="C95" s="279" t="str">
        <f t="shared" si="5"/>
        <v>U</v>
      </c>
      <c r="D95" s="297"/>
      <c r="E95" s="297"/>
      <c r="F95" s="185"/>
      <c r="G95" s="185"/>
    </row>
    <row r="96" spans="1:10" ht="18">
      <c r="A96" s="282" t="s">
        <v>222</v>
      </c>
      <c r="B96" s="276">
        <f>(D55-D25)*B55</f>
        <v>0</v>
      </c>
      <c r="C96" s="279" t="str">
        <f t="shared" si="5"/>
        <v>U</v>
      </c>
      <c r="D96" s="370" t="s">
        <v>198</v>
      </c>
      <c r="E96" s="370"/>
      <c r="F96" s="185"/>
      <c r="G96" s="185"/>
    </row>
    <row r="97" spans="1:6" ht="14.4">
      <c r="A97" s="173" t="s">
        <v>265</v>
      </c>
      <c r="B97" s="277">
        <f>B98+B99</f>
        <v>-400</v>
      </c>
      <c r="C97" s="279" t="str">
        <f t="shared" si="5"/>
        <v>U</v>
      </c>
      <c r="D97" s="93"/>
      <c r="E97" s="93"/>
    </row>
    <row r="98" spans="1:6" ht="31.95" customHeight="1">
      <c r="A98" s="274" t="s">
        <v>302</v>
      </c>
      <c r="B98" s="283">
        <f>D83</f>
        <v>500</v>
      </c>
      <c r="C98" s="279" t="str">
        <f t="shared" si="5"/>
        <v>F</v>
      </c>
      <c r="D98" s="93"/>
      <c r="E98" s="93"/>
    </row>
    <row r="99" spans="1:6" ht="14.4">
      <c r="A99" s="274" t="s">
        <v>260</v>
      </c>
      <c r="B99" s="283">
        <f>D79</f>
        <v>-900</v>
      </c>
      <c r="C99" s="279" t="str">
        <f t="shared" si="5"/>
        <v>U</v>
      </c>
      <c r="D99" s="93"/>
      <c r="E99" s="93"/>
    </row>
    <row r="100" spans="1:6" ht="14.4">
      <c r="A100" s="173" t="s">
        <v>264</v>
      </c>
      <c r="B100" s="277">
        <f>B101+B102</f>
        <v>-38.000000000000128</v>
      </c>
      <c r="C100" s="279" t="str">
        <f t="shared" si="5"/>
        <v>U</v>
      </c>
      <c r="D100" s="93"/>
      <c r="E100" s="51"/>
    </row>
    <row r="101" spans="1:6" ht="14.4">
      <c r="A101" s="274" t="s">
        <v>267</v>
      </c>
      <c r="B101" s="283">
        <f>D84</f>
        <v>-80.000000000000227</v>
      </c>
      <c r="C101" s="279" t="str">
        <f t="shared" si="5"/>
        <v>U</v>
      </c>
      <c r="D101" s="93"/>
      <c r="E101" s="51"/>
    </row>
    <row r="102" spans="1:6" ht="14.4">
      <c r="A102" s="274" t="s">
        <v>268</v>
      </c>
      <c r="B102" s="283">
        <f>D80</f>
        <v>42.000000000000099</v>
      </c>
      <c r="C102" s="279" t="str">
        <f t="shared" si="5"/>
        <v>F</v>
      </c>
      <c r="D102" s="93"/>
      <c r="E102" s="51"/>
    </row>
    <row r="103" spans="1:6" ht="14.4">
      <c r="A103" s="284" t="s">
        <v>226</v>
      </c>
      <c r="B103" s="286">
        <f>D81+D85</f>
        <v>0</v>
      </c>
      <c r="C103" s="279" t="str">
        <f t="shared" si="5"/>
        <v>U</v>
      </c>
      <c r="D103" s="91"/>
    </row>
    <row r="104" spans="1:6" ht="14.4">
      <c r="A104" s="173" t="s">
        <v>269</v>
      </c>
      <c r="B104" s="277">
        <f>D77</f>
        <v>-300</v>
      </c>
      <c r="C104" s="279" t="str">
        <f t="shared" si="5"/>
        <v>U</v>
      </c>
      <c r="D104" s="93"/>
    </row>
    <row r="105" spans="1:6" ht="15" thickBot="1">
      <c r="A105" s="174" t="s">
        <v>203</v>
      </c>
      <c r="B105" s="277">
        <f>E61</f>
        <v>2762</v>
      </c>
      <c r="C105" s="280"/>
      <c r="D105" s="91"/>
      <c r="F105" s="232"/>
    </row>
    <row r="106" spans="1:6" ht="18.600000000000001" thickBot="1">
      <c r="A106" s="188" t="s">
        <v>223</v>
      </c>
      <c r="B106" s="186">
        <f>B105-B90</f>
        <v>-118</v>
      </c>
      <c r="C106" s="175" t="str">
        <f>IF(B106&gt;0,"F","U")</f>
        <v>U</v>
      </c>
      <c r="D106" s="106"/>
      <c r="E106" s="93"/>
      <c r="F106" s="232"/>
    </row>
    <row r="107" spans="1:6">
      <c r="A107" s="51"/>
      <c r="B107" s="187"/>
      <c r="C107" s="51"/>
      <c r="D107" s="51"/>
      <c r="E107" s="51"/>
    </row>
    <row r="108" spans="1:6">
      <c r="A108">
        <v>1</v>
      </c>
      <c r="B108" t="s">
        <v>156</v>
      </c>
    </row>
    <row r="109" spans="1:6">
      <c r="A109">
        <v>2</v>
      </c>
      <c r="B109" t="s">
        <v>157</v>
      </c>
    </row>
    <row r="110" spans="1:6">
      <c r="A110">
        <v>3</v>
      </c>
      <c r="B110" t="s">
        <v>158</v>
      </c>
    </row>
    <row r="111" spans="1:6">
      <c r="A111">
        <v>4</v>
      </c>
      <c r="B111" t="s">
        <v>159</v>
      </c>
    </row>
    <row r="112" spans="1:6">
      <c r="A112">
        <v>5</v>
      </c>
      <c r="B112" t="s">
        <v>160</v>
      </c>
    </row>
    <row r="113" spans="1:2">
      <c r="A113">
        <v>6</v>
      </c>
      <c r="B113" t="s">
        <v>161</v>
      </c>
    </row>
  </sheetData>
  <mergeCells count="33">
    <mergeCell ref="A63:E63"/>
    <mergeCell ref="D92:E92"/>
    <mergeCell ref="A1:J1"/>
    <mergeCell ref="A64:E65"/>
    <mergeCell ref="A75:B77"/>
    <mergeCell ref="B78:C78"/>
    <mergeCell ref="B70:C70"/>
    <mergeCell ref="A66:B69"/>
    <mergeCell ref="A4:A6"/>
    <mergeCell ref="A7:A10"/>
    <mergeCell ref="A11:A20"/>
    <mergeCell ref="A53:E53"/>
    <mergeCell ref="A23:E23"/>
    <mergeCell ref="A33:E33"/>
    <mergeCell ref="A43:E43"/>
    <mergeCell ref="I44:K45"/>
    <mergeCell ref="F74:J74"/>
    <mergeCell ref="D96:E96"/>
    <mergeCell ref="A62:G62"/>
    <mergeCell ref="F79:I81"/>
    <mergeCell ref="F83:I85"/>
    <mergeCell ref="F67:I69"/>
    <mergeCell ref="F76:J76"/>
    <mergeCell ref="F71:I71"/>
    <mergeCell ref="F72:I72"/>
    <mergeCell ref="B71:C71"/>
    <mergeCell ref="B72:C72"/>
    <mergeCell ref="F73:I73"/>
    <mergeCell ref="F75:I75"/>
    <mergeCell ref="B79:B82"/>
    <mergeCell ref="B83:B86"/>
    <mergeCell ref="A79:A86"/>
    <mergeCell ref="A89:E8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C651-7EE9-EB40-A3ED-9BAD7E7B2F64}">
  <dimension ref="A1:L35"/>
  <sheetViews>
    <sheetView zoomScale="70" zoomScaleNormal="70" workbookViewId="0">
      <selection activeCell="E16" sqref="E16"/>
    </sheetView>
  </sheetViews>
  <sheetFormatPr baseColWidth="10" defaultRowHeight="13.8"/>
  <cols>
    <col min="2" max="2" width="24.69921875" customWidth="1"/>
    <col min="3" max="3" width="21.5" customWidth="1"/>
    <col min="4" max="4" width="19.69921875" customWidth="1"/>
    <col min="5" max="5" width="16.796875" customWidth="1"/>
    <col min="9" max="9" width="12.19921875" bestFit="1" customWidth="1"/>
    <col min="10" max="10" width="16" bestFit="1" customWidth="1"/>
    <col min="11" max="11" width="14.296875" bestFit="1" customWidth="1"/>
  </cols>
  <sheetData>
    <row r="1" spans="1:12" ht="32.4">
      <c r="A1" s="311" t="s">
        <v>185</v>
      </c>
      <c r="B1" s="392"/>
      <c r="C1" s="392"/>
      <c r="D1" s="392"/>
      <c r="E1" s="392"/>
      <c r="F1" s="392"/>
      <c r="G1" s="392"/>
      <c r="H1" s="392"/>
      <c r="I1" s="392"/>
      <c r="J1" s="392"/>
    </row>
    <row r="3" spans="1:12">
      <c r="A3" s="424" t="s">
        <v>162</v>
      </c>
      <c r="B3" s="59" t="s">
        <v>186</v>
      </c>
      <c r="C3" s="60" t="s">
        <v>15</v>
      </c>
      <c r="D3" s="60" t="s">
        <v>169</v>
      </c>
      <c r="E3" s="60" t="s">
        <v>163</v>
      </c>
      <c r="F3" s="64" t="s">
        <v>164</v>
      </c>
    </row>
    <row r="4" spans="1:12">
      <c r="A4" s="425"/>
      <c r="B4" s="56" t="s">
        <v>167</v>
      </c>
      <c r="C4" s="51">
        <f>C6*F4</f>
        <v>6900</v>
      </c>
      <c r="D4" s="83">
        <v>88</v>
      </c>
      <c r="E4" s="83">
        <f>C4*D4</f>
        <v>607200</v>
      </c>
      <c r="F4" s="65">
        <v>0.6</v>
      </c>
    </row>
    <row r="5" spans="1:12">
      <c r="A5" s="425"/>
      <c r="B5" s="56" t="s">
        <v>168</v>
      </c>
      <c r="C5" s="51">
        <f>C6*F5</f>
        <v>4600</v>
      </c>
      <c r="D5" s="83">
        <v>70</v>
      </c>
      <c r="E5" s="83">
        <f>C5*D5</f>
        <v>322000</v>
      </c>
      <c r="F5" s="65">
        <v>0.4</v>
      </c>
    </row>
    <row r="6" spans="1:12" ht="14.4" thickBot="1">
      <c r="A6" s="426"/>
      <c r="B6" s="62" t="s">
        <v>171</v>
      </c>
      <c r="C6" s="63">
        <v>11500</v>
      </c>
      <c r="D6" s="447">
        <f>E6/C6</f>
        <v>80.8</v>
      </c>
      <c r="E6" s="84">
        <f>E4+E5</f>
        <v>929200</v>
      </c>
      <c r="F6" s="66">
        <f>F4+F5</f>
        <v>1</v>
      </c>
    </row>
    <row r="7" spans="1:12">
      <c r="D7" s="67"/>
      <c r="E7" s="67"/>
      <c r="H7" s="72"/>
      <c r="I7" s="418" t="s">
        <v>188</v>
      </c>
      <c r="J7" s="418"/>
      <c r="K7" s="418"/>
      <c r="L7" s="73"/>
    </row>
    <row r="8" spans="1:12">
      <c r="A8" s="424" t="s">
        <v>165</v>
      </c>
      <c r="B8" s="59" t="s">
        <v>186</v>
      </c>
      <c r="C8" s="60" t="s">
        <v>15</v>
      </c>
      <c r="D8" s="85" t="s">
        <v>169</v>
      </c>
      <c r="E8" s="85" t="s">
        <v>163</v>
      </c>
      <c r="F8" s="64" t="s">
        <v>164</v>
      </c>
      <c r="H8" s="74"/>
      <c r="I8" s="419"/>
      <c r="J8" s="419"/>
      <c r="K8" s="419"/>
      <c r="L8" s="75"/>
    </row>
    <row r="9" spans="1:12">
      <c r="A9" s="425"/>
      <c r="B9" s="56" t="s">
        <v>167</v>
      </c>
      <c r="C9">
        <f>F9*C11</f>
        <v>0</v>
      </c>
      <c r="D9" s="67">
        <v>88</v>
      </c>
      <c r="E9" s="86">
        <f>C9*D9</f>
        <v>0</v>
      </c>
      <c r="F9" s="65"/>
      <c r="H9" s="74"/>
      <c r="I9" s="51" t="s">
        <v>192</v>
      </c>
      <c r="J9" s="61">
        <v>0</v>
      </c>
      <c r="K9" s="51"/>
      <c r="L9" s="75"/>
    </row>
    <row r="10" spans="1:12">
      <c r="A10" s="425"/>
      <c r="B10" s="56" t="s">
        <v>168</v>
      </c>
      <c r="C10">
        <f>F10*C11</f>
        <v>0</v>
      </c>
      <c r="D10" s="67">
        <v>70</v>
      </c>
      <c r="E10" s="86">
        <f>C10*D10</f>
        <v>0</v>
      </c>
      <c r="F10" s="65"/>
      <c r="H10" s="74"/>
      <c r="I10" s="51"/>
      <c r="J10" s="51"/>
      <c r="K10" s="51"/>
      <c r="L10" s="75"/>
    </row>
    <row r="11" spans="1:12">
      <c r="A11" s="426"/>
      <c r="B11" s="62" t="s">
        <v>171</v>
      </c>
      <c r="C11" s="63">
        <v>10000</v>
      </c>
      <c r="D11" s="84">
        <v>78.64</v>
      </c>
      <c r="E11" s="87">
        <v>808000</v>
      </c>
      <c r="F11" s="66">
        <f>F9+F10</f>
        <v>0</v>
      </c>
      <c r="H11" s="74"/>
      <c r="I11" s="69" t="s">
        <v>189</v>
      </c>
      <c r="J11" s="70" t="s">
        <v>190</v>
      </c>
      <c r="K11" s="71" t="s">
        <v>191</v>
      </c>
      <c r="L11" s="75"/>
    </row>
    <row r="12" spans="1:12">
      <c r="D12" s="67"/>
      <c r="E12" s="67">
        <f>E9+E10</f>
        <v>0</v>
      </c>
      <c r="H12" s="74"/>
      <c r="I12" s="56" t="s">
        <v>167</v>
      </c>
      <c r="J12" s="51">
        <v>8</v>
      </c>
      <c r="K12" s="57">
        <v>12</v>
      </c>
      <c r="L12" s="75"/>
    </row>
    <row r="13" spans="1:12">
      <c r="A13" s="424" t="s">
        <v>166</v>
      </c>
      <c r="B13" s="59" t="s">
        <v>186</v>
      </c>
      <c r="C13" s="60" t="s">
        <v>15</v>
      </c>
      <c r="D13" s="85" t="s">
        <v>169</v>
      </c>
      <c r="E13" s="85" t="s">
        <v>163</v>
      </c>
      <c r="F13" s="64" t="s">
        <v>164</v>
      </c>
      <c r="H13" s="74"/>
      <c r="I13" s="56" t="s">
        <v>168</v>
      </c>
      <c r="J13" s="51">
        <v>32</v>
      </c>
      <c r="K13" s="57">
        <v>40</v>
      </c>
      <c r="L13" s="75"/>
    </row>
    <row r="14" spans="1:12">
      <c r="A14" s="425"/>
      <c r="B14" s="56" t="s">
        <v>167</v>
      </c>
      <c r="C14">
        <f>F14*C16</f>
        <v>5742.1319796954322</v>
      </c>
      <c r="D14" s="67">
        <v>86</v>
      </c>
      <c r="E14" s="86">
        <f>C14*D14</f>
        <v>493823.35025380715</v>
      </c>
      <c r="F14" s="65">
        <v>0.56000000000000005</v>
      </c>
      <c r="H14" s="74"/>
      <c r="I14" s="79" t="s">
        <v>171</v>
      </c>
      <c r="J14" s="80">
        <v>40</v>
      </c>
      <c r="K14" s="81">
        <v>52</v>
      </c>
      <c r="L14" s="75"/>
    </row>
    <row r="15" spans="1:12" ht="14.4" thickBot="1">
      <c r="A15" s="425"/>
      <c r="B15" s="56" t="s">
        <v>168</v>
      </c>
      <c r="C15">
        <f>F15*C16</f>
        <v>4511.6751269035531</v>
      </c>
      <c r="D15" s="67">
        <v>68</v>
      </c>
      <c r="E15" s="86">
        <f t="shared" ref="E15" si="0">C15*D15</f>
        <v>306793.90862944163</v>
      </c>
      <c r="F15" s="65">
        <v>0.44</v>
      </c>
      <c r="H15" s="76"/>
      <c r="I15" s="77"/>
      <c r="J15" s="77"/>
      <c r="K15" s="77"/>
      <c r="L15" s="78"/>
    </row>
    <row r="16" spans="1:12">
      <c r="A16" s="426"/>
      <c r="B16" s="62" t="s">
        <v>171</v>
      </c>
      <c r="C16" s="63">
        <f>E16/D16</f>
        <v>10253.807106598984</v>
      </c>
      <c r="D16" s="84">
        <v>78.8</v>
      </c>
      <c r="E16" s="87">
        <v>808000</v>
      </c>
      <c r="F16" s="66">
        <f>F14+F15</f>
        <v>1</v>
      </c>
    </row>
    <row r="17" spans="1:11">
      <c r="E17">
        <f>E14+E15</f>
        <v>800617.25888324878</v>
      </c>
    </row>
    <row r="18" spans="1:11" ht="28.95" customHeight="1">
      <c r="A18" s="420" t="s">
        <v>187</v>
      </c>
      <c r="B18" s="421"/>
      <c r="C18" s="421"/>
      <c r="D18" s="421"/>
      <c r="E18" s="421"/>
      <c r="F18" s="421"/>
      <c r="G18" s="421"/>
      <c r="H18" s="421"/>
      <c r="I18" s="421"/>
      <c r="J18" s="421"/>
    </row>
    <row r="19" spans="1:11" ht="14.4" customHeight="1">
      <c r="A19" s="423" t="s">
        <v>172</v>
      </c>
      <c r="B19" s="423"/>
      <c r="C19" s="107" t="s">
        <v>194</v>
      </c>
      <c r="D19" s="108">
        <f>C16-C6</f>
        <v>-1246.1928934010157</v>
      </c>
      <c r="E19" s="82" t="str">
        <f>IF(D19&gt;0,"F","U")</f>
        <v>U</v>
      </c>
      <c r="F19" s="422" t="s">
        <v>195</v>
      </c>
      <c r="G19" s="422"/>
      <c r="H19" s="422"/>
      <c r="I19" s="422"/>
      <c r="J19" s="422"/>
    </row>
    <row r="20" spans="1:11" ht="19.05" customHeight="1">
      <c r="A20" s="423"/>
      <c r="B20" s="423"/>
      <c r="C20" s="107" t="s">
        <v>163</v>
      </c>
      <c r="D20" s="109">
        <f>E16-E6</f>
        <v>-121200</v>
      </c>
      <c r="E20" s="82" t="str">
        <f t="shared" ref="E20:E34" si="1">IF(D20&gt;0,"F","U")</f>
        <v>U</v>
      </c>
      <c r="F20" s="422" t="s">
        <v>193</v>
      </c>
      <c r="G20" s="422"/>
      <c r="H20" s="422"/>
      <c r="I20" s="422"/>
      <c r="J20" s="422"/>
    </row>
    <row r="21" spans="1:11" ht="19.05" customHeight="1">
      <c r="A21" s="300"/>
      <c r="B21" s="300"/>
      <c r="C21" s="110"/>
      <c r="D21" s="110"/>
      <c r="E21" s="82"/>
      <c r="F21" s="299"/>
      <c r="G21" s="299"/>
      <c r="H21" s="299"/>
      <c r="I21" s="299"/>
      <c r="J21" s="299"/>
    </row>
    <row r="22" spans="1:11" ht="14.4">
      <c r="A22" s="378" t="s">
        <v>175</v>
      </c>
      <c r="B22" s="427"/>
      <c r="C22" s="115" t="s">
        <v>167</v>
      </c>
      <c r="D22" s="116">
        <f>(D14-D9)*C14</f>
        <v>-11484.263959390864</v>
      </c>
      <c r="E22" s="117" t="str">
        <f t="shared" si="1"/>
        <v>U</v>
      </c>
      <c r="F22" s="422" t="s">
        <v>176</v>
      </c>
      <c r="G22" s="422"/>
      <c r="H22" s="422"/>
      <c r="I22" s="422"/>
      <c r="J22" s="422"/>
    </row>
    <row r="23" spans="1:11" ht="13.8" customHeight="1">
      <c r="A23" s="118"/>
      <c r="B23" s="51"/>
      <c r="C23" s="51" t="s">
        <v>168</v>
      </c>
      <c r="D23" s="83">
        <f>(D15-D10)*C15</f>
        <v>-9023.3502538071061</v>
      </c>
      <c r="E23" s="119" t="str">
        <f t="shared" si="1"/>
        <v>U</v>
      </c>
      <c r="F23" s="422"/>
      <c r="G23" s="422"/>
      <c r="H23" s="422"/>
      <c r="I23" s="422"/>
      <c r="J23" s="422"/>
    </row>
    <row r="24" spans="1:11" ht="13.8" customHeight="1">
      <c r="A24" s="120"/>
      <c r="B24" s="89"/>
      <c r="C24" s="121" t="s">
        <v>177</v>
      </c>
      <c r="D24" s="122">
        <f>(D16-D11)*C16</f>
        <v>1640.6091370558024</v>
      </c>
      <c r="E24" s="123" t="str">
        <f t="shared" si="1"/>
        <v>F</v>
      </c>
      <c r="F24" s="422"/>
      <c r="G24" s="422"/>
      <c r="H24" s="422"/>
      <c r="I24" s="422"/>
      <c r="J24" s="422"/>
    </row>
    <row r="25" spans="1:11" ht="14.4">
      <c r="A25" s="111"/>
      <c r="B25" s="51"/>
      <c r="C25" s="51"/>
      <c r="D25" s="83"/>
      <c r="E25" s="82"/>
      <c r="F25" s="299"/>
      <c r="G25" s="299"/>
      <c r="H25" s="299"/>
      <c r="I25" s="299"/>
      <c r="J25" s="299"/>
    </row>
    <row r="26" spans="1:11" ht="14.4">
      <c r="A26" s="378" t="s">
        <v>173</v>
      </c>
      <c r="B26" s="379"/>
      <c r="C26" s="115" t="s">
        <v>167</v>
      </c>
      <c r="D26" s="124">
        <f>(C14-C4)*D4</f>
        <v>-101892.38578680197</v>
      </c>
      <c r="E26" s="117" t="str">
        <f t="shared" si="1"/>
        <v>U</v>
      </c>
      <c r="F26" s="422" t="s">
        <v>196</v>
      </c>
      <c r="G26" s="422"/>
      <c r="H26" s="422"/>
      <c r="I26" s="422"/>
      <c r="J26" s="422"/>
      <c r="K26" s="422"/>
    </row>
    <row r="27" spans="1:11" ht="13.8" customHeight="1">
      <c r="A27" s="56"/>
      <c r="B27" s="57"/>
      <c r="C27" s="51" t="s">
        <v>168</v>
      </c>
      <c r="D27" s="113">
        <f>(C15-C5)*D5</f>
        <v>-6182.7411167512855</v>
      </c>
      <c r="E27" s="119" t="str">
        <f t="shared" si="1"/>
        <v>U</v>
      </c>
      <c r="F27" s="422"/>
      <c r="G27" s="422"/>
      <c r="H27" s="422"/>
      <c r="I27" s="422"/>
      <c r="J27" s="422"/>
      <c r="K27" s="422"/>
    </row>
    <row r="28" spans="1:11" ht="13.8" customHeight="1">
      <c r="A28" s="125"/>
      <c r="B28" s="90"/>
      <c r="C28" s="112" t="s">
        <v>174</v>
      </c>
      <c r="D28" s="114">
        <f>D26+D27</f>
        <v>-108075.12690355326</v>
      </c>
      <c r="E28" s="119" t="str">
        <f t="shared" si="1"/>
        <v>U</v>
      </c>
      <c r="F28" s="422"/>
      <c r="G28" s="422"/>
      <c r="H28" s="422"/>
      <c r="I28" s="422"/>
      <c r="J28" s="422"/>
      <c r="K28" s="422"/>
    </row>
    <row r="29" spans="1:11" ht="14.4">
      <c r="A29" s="56"/>
      <c r="B29" s="51"/>
      <c r="C29" s="51"/>
      <c r="D29" s="83"/>
      <c r="E29" s="119"/>
      <c r="F29" s="68"/>
      <c r="G29" s="68"/>
      <c r="H29" s="68"/>
      <c r="I29" s="68"/>
      <c r="J29" s="68"/>
    </row>
    <row r="30" spans="1:11" ht="14.4">
      <c r="A30" s="56"/>
      <c r="B30" s="127" t="s">
        <v>178</v>
      </c>
      <c r="C30" s="51">
        <f>(D11-D6)*C16</f>
        <v>-22148.223350253771</v>
      </c>
      <c r="D30" s="51"/>
      <c r="E30" s="119" t="str">
        <f>IF(C30&gt;0,"F","U")</f>
        <v>U</v>
      </c>
      <c r="F30" s="376" t="s">
        <v>179</v>
      </c>
      <c r="G30" s="376"/>
      <c r="H30" s="376"/>
      <c r="I30" s="376"/>
      <c r="J30" s="376"/>
    </row>
    <row r="31" spans="1:11" ht="14.4">
      <c r="A31" s="56"/>
      <c r="B31" s="128" t="s">
        <v>180</v>
      </c>
      <c r="C31" s="51">
        <f>(C16-C6)*D6</f>
        <v>-100692.38578680206</v>
      </c>
      <c r="D31" s="51"/>
      <c r="E31" s="119" t="str">
        <f>IF(C31&gt;0,"F","U")</f>
        <v>U</v>
      </c>
      <c r="F31" s="376" t="s">
        <v>181</v>
      </c>
      <c r="G31" s="376"/>
      <c r="H31" s="376"/>
      <c r="I31" s="376"/>
      <c r="J31" s="376"/>
    </row>
    <row r="32" spans="1:11">
      <c r="A32" s="56"/>
      <c r="B32" s="51"/>
      <c r="C32" s="51"/>
      <c r="D32" s="51"/>
      <c r="E32" s="119"/>
    </row>
    <row r="33" spans="1:10" ht="14.4">
      <c r="A33" s="56"/>
      <c r="B33" s="51"/>
      <c r="C33" s="127" t="s">
        <v>182</v>
      </c>
      <c r="D33" s="83">
        <f>(K14-J14)*J9*D6</f>
        <v>0</v>
      </c>
      <c r="E33" s="119" t="str">
        <f t="shared" si="1"/>
        <v>U</v>
      </c>
      <c r="F33" s="376" t="s">
        <v>183</v>
      </c>
      <c r="G33" s="376"/>
      <c r="H33" s="376"/>
      <c r="I33" s="376"/>
      <c r="J33" s="376"/>
    </row>
    <row r="34" spans="1:10" ht="14.4">
      <c r="A34" s="125"/>
      <c r="B34" s="89"/>
      <c r="C34" s="128" t="s">
        <v>184</v>
      </c>
      <c r="D34" s="126">
        <f>C31-D33</f>
        <v>-100692.38578680206</v>
      </c>
      <c r="E34" s="123" t="str">
        <f t="shared" si="1"/>
        <v>U</v>
      </c>
      <c r="G34" s="58"/>
      <c r="H34" s="58"/>
      <c r="I34" s="58"/>
      <c r="J34" s="58"/>
    </row>
    <row r="35" spans="1:10">
      <c r="C35" t="s">
        <v>11</v>
      </c>
      <c r="D35">
        <f>D24+C30+C31</f>
        <v>-121200.00000000003</v>
      </c>
      <c r="E35" t="str">
        <f>IF(D35&gt;0,"F","U")</f>
        <v>U</v>
      </c>
    </row>
  </sheetData>
  <mergeCells count="16">
    <mergeCell ref="A1:J1"/>
    <mergeCell ref="F26:K28"/>
    <mergeCell ref="A22:B22"/>
    <mergeCell ref="A26:B26"/>
    <mergeCell ref="A3:A6"/>
    <mergeCell ref="F30:J30"/>
    <mergeCell ref="F31:J31"/>
    <mergeCell ref="I7:K8"/>
    <mergeCell ref="F33:J33"/>
    <mergeCell ref="A18:J18"/>
    <mergeCell ref="F20:J20"/>
    <mergeCell ref="A19:B20"/>
    <mergeCell ref="A8:A11"/>
    <mergeCell ref="A13:A16"/>
    <mergeCell ref="F22:J24"/>
    <mergeCell ref="F19:J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DD70-625D-4342-94DA-1E9F4710DDA5}">
  <dimension ref="A1:I50"/>
  <sheetViews>
    <sheetView topLeftCell="A25" workbookViewId="0">
      <selection activeCell="A42" sqref="A42"/>
    </sheetView>
  </sheetViews>
  <sheetFormatPr baseColWidth="10" defaultColWidth="8.796875" defaultRowHeight="13.8"/>
  <cols>
    <col min="1" max="1" width="47.296875" customWidth="1"/>
    <col min="2" max="4" width="14.3984375" customWidth="1"/>
    <col min="8" max="8" width="16.69921875" bestFit="1" customWidth="1"/>
  </cols>
  <sheetData>
    <row r="1" spans="1:9">
      <c r="A1" s="3" t="s">
        <v>121</v>
      </c>
      <c r="B1" s="3" t="s">
        <v>13</v>
      </c>
      <c r="C1" s="3" t="s">
        <v>25</v>
      </c>
      <c r="D1" s="3" t="s">
        <v>26</v>
      </c>
      <c r="F1" s="52" t="s">
        <v>83</v>
      </c>
      <c r="G1" s="303"/>
      <c r="H1" s="428" t="s">
        <v>148</v>
      </c>
      <c r="I1" s="429"/>
    </row>
    <row r="2" spans="1:9">
      <c r="A2" s="1" t="s">
        <v>0</v>
      </c>
      <c r="B2" s="19">
        <v>0</v>
      </c>
      <c r="C2" s="19">
        <v>2600</v>
      </c>
      <c r="D2" s="19">
        <v>4000</v>
      </c>
      <c r="F2" s="1"/>
      <c r="G2" s="1"/>
      <c r="H2" s="1" t="s">
        <v>149</v>
      </c>
      <c r="I2" s="42">
        <f>1000</f>
        <v>1000</v>
      </c>
    </row>
    <row r="3" spans="1:9">
      <c r="A3" s="1" t="s">
        <v>3</v>
      </c>
      <c r="B3" s="4">
        <f>SUM(B4:B5)</f>
        <v>0</v>
      </c>
      <c r="C3" s="4">
        <f>SUM(C4:C6)</f>
        <v>2200</v>
      </c>
      <c r="D3" s="4">
        <f>SUM(D4:D6)</f>
        <v>3250</v>
      </c>
      <c r="F3" s="1"/>
      <c r="G3" s="1"/>
      <c r="H3" s="1" t="s">
        <v>150</v>
      </c>
      <c r="I3" s="44">
        <v>0.1</v>
      </c>
    </row>
    <row r="4" spans="1:9">
      <c r="A4" s="30" t="s">
        <v>146</v>
      </c>
      <c r="B4" s="4">
        <v>0</v>
      </c>
      <c r="C4" s="4">
        <f>$F$4*C2</f>
        <v>1950</v>
      </c>
      <c r="D4" s="4">
        <f>$F$4*D2</f>
        <v>3000</v>
      </c>
      <c r="F4" s="17">
        <v>0.75</v>
      </c>
      <c r="G4" s="17"/>
      <c r="H4" s="1" t="s">
        <v>151</v>
      </c>
      <c r="I4" s="42">
        <v>5</v>
      </c>
    </row>
    <row r="5" spans="1:9">
      <c r="A5" s="30" t="s">
        <v>147</v>
      </c>
      <c r="B5" s="4">
        <v>0</v>
      </c>
      <c r="C5" s="4">
        <f>$F$5</f>
        <v>50</v>
      </c>
      <c r="D5" s="4">
        <f>$F$5</f>
        <v>50</v>
      </c>
      <c r="F5" s="20">
        <v>50</v>
      </c>
      <c r="G5" s="20"/>
      <c r="H5" s="1" t="s">
        <v>152</v>
      </c>
      <c r="I5" s="42">
        <f>I2/I4</f>
        <v>200</v>
      </c>
    </row>
    <row r="6" spans="1:9">
      <c r="A6" s="30" t="s">
        <v>107</v>
      </c>
      <c r="B6" s="4">
        <v>0</v>
      </c>
      <c r="C6" s="4">
        <f>$I$10</f>
        <v>200</v>
      </c>
      <c r="D6" s="4">
        <f>$I$10</f>
        <v>200</v>
      </c>
      <c r="F6" s="1"/>
      <c r="G6" s="51"/>
    </row>
    <row r="7" spans="1:9">
      <c r="A7" s="1" t="s">
        <v>122</v>
      </c>
      <c r="B7" s="4">
        <v>0</v>
      </c>
      <c r="C7" s="4">
        <f>$I$3*B32</f>
        <v>100</v>
      </c>
      <c r="D7" s="4">
        <f>$I$3*C32</f>
        <v>80</v>
      </c>
      <c r="F7" s="1"/>
      <c r="G7" s="304"/>
      <c r="H7" s="428" t="s">
        <v>137</v>
      </c>
      <c r="I7" s="429"/>
    </row>
    <row r="8" spans="1:9">
      <c r="A8" s="1" t="s">
        <v>123</v>
      </c>
      <c r="B8" s="4">
        <f>B2-B3-B7</f>
        <v>0</v>
      </c>
      <c r="C8" s="4">
        <f>C2-C3-C7</f>
        <v>300</v>
      </c>
      <c r="D8" s="4">
        <f>D2-D3-D7</f>
        <v>670</v>
      </c>
      <c r="F8" s="1"/>
      <c r="G8" s="1"/>
      <c r="H8" s="1" t="s">
        <v>149</v>
      </c>
      <c r="I8" s="42">
        <f>B25</f>
        <v>2000</v>
      </c>
    </row>
    <row r="9" spans="1:9">
      <c r="A9" s="1" t="s">
        <v>124</v>
      </c>
      <c r="B9" s="4"/>
      <c r="C9" s="4">
        <f>40%*C8</f>
        <v>120</v>
      </c>
      <c r="D9" s="4">
        <f>40%*D8</f>
        <v>268</v>
      </c>
      <c r="F9" s="1"/>
      <c r="G9" s="1"/>
      <c r="H9" s="1" t="s">
        <v>151</v>
      </c>
      <c r="I9" s="42">
        <v>10</v>
      </c>
    </row>
    <row r="10" spans="1:9">
      <c r="A10" s="3" t="s">
        <v>125</v>
      </c>
      <c r="B10" s="5">
        <f>B8-B9</f>
        <v>0</v>
      </c>
      <c r="C10" s="5">
        <f>C8-C9</f>
        <v>180</v>
      </c>
      <c r="D10" s="5">
        <f>D8-D9</f>
        <v>402</v>
      </c>
      <c r="F10" s="1"/>
      <c r="G10" s="1"/>
      <c r="H10" s="1" t="s">
        <v>153</v>
      </c>
      <c r="I10" s="42">
        <f>I8/I9</f>
        <v>200</v>
      </c>
    </row>
    <row r="11" spans="1:9">
      <c r="F11" s="1"/>
      <c r="G11" s="51"/>
    </row>
    <row r="12" spans="1:9">
      <c r="A12" s="3" t="s">
        <v>126</v>
      </c>
      <c r="B12" s="3" t="s">
        <v>13</v>
      </c>
      <c r="C12" s="3" t="s">
        <v>25</v>
      </c>
      <c r="D12" s="3" t="s">
        <v>26</v>
      </c>
      <c r="F12" s="1"/>
      <c r="G12" s="51"/>
    </row>
    <row r="13" spans="1:9">
      <c r="A13" s="3" t="s">
        <v>127</v>
      </c>
      <c r="B13" s="5">
        <v>0</v>
      </c>
      <c r="C13" s="5">
        <f>B21</f>
        <v>500</v>
      </c>
      <c r="D13" s="5">
        <f>C21</f>
        <v>330</v>
      </c>
      <c r="F13" s="1"/>
      <c r="G13" s="51"/>
    </row>
    <row r="14" spans="1:9">
      <c r="A14" s="1" t="s">
        <v>128</v>
      </c>
      <c r="B14" s="4">
        <f>B30-B32</f>
        <v>500</v>
      </c>
      <c r="C14" s="4">
        <v>0</v>
      </c>
      <c r="D14" s="4">
        <v>0</v>
      </c>
      <c r="F14" s="1"/>
      <c r="G14" s="51"/>
    </row>
    <row r="15" spans="1:9">
      <c r="A15" s="1" t="s">
        <v>129</v>
      </c>
      <c r="B15" s="4">
        <v>0</v>
      </c>
      <c r="C15" s="4">
        <f>C10+C6</f>
        <v>380</v>
      </c>
      <c r="D15" s="4">
        <f>D10+D6</f>
        <v>602</v>
      </c>
      <c r="F15" s="1"/>
      <c r="G15" s="51"/>
    </row>
    <row r="16" spans="1:9">
      <c r="A16" s="1" t="s">
        <v>130</v>
      </c>
      <c r="B16" s="4">
        <f>SUM(B14:B15)</f>
        <v>500</v>
      </c>
      <c r="C16" s="4">
        <f>SUM(C14:C15)</f>
        <v>380</v>
      </c>
      <c r="D16" s="4">
        <f>SUM(D14:D15)</f>
        <v>602</v>
      </c>
      <c r="F16" s="1"/>
      <c r="G16" s="51"/>
    </row>
    <row r="17" spans="1:7">
      <c r="A17" s="1" t="s">
        <v>131</v>
      </c>
      <c r="B17" s="4">
        <v>0</v>
      </c>
      <c r="C17" s="4">
        <f>C26-B26</f>
        <v>260</v>
      </c>
      <c r="D17" s="4">
        <f>D26-C26</f>
        <v>140</v>
      </c>
      <c r="F17" s="1"/>
      <c r="G17" s="51"/>
    </row>
    <row r="18" spans="1:7">
      <c r="A18" s="1" t="s">
        <v>132</v>
      </c>
      <c r="B18" s="4">
        <v>0</v>
      </c>
      <c r="C18" s="4">
        <f>$I$5</f>
        <v>200</v>
      </c>
      <c r="D18" s="4">
        <f>$I$5</f>
        <v>200</v>
      </c>
      <c r="F18" s="1"/>
      <c r="G18" s="51"/>
    </row>
    <row r="19" spans="1:7">
      <c r="A19" s="1" t="s">
        <v>133</v>
      </c>
      <c r="B19" s="4">
        <v>0</v>
      </c>
      <c r="C19" s="4">
        <f>C10/2</f>
        <v>90</v>
      </c>
      <c r="D19" s="4">
        <f>D10/2</f>
        <v>201</v>
      </c>
      <c r="F19" s="1"/>
      <c r="G19" s="51"/>
    </row>
    <row r="20" spans="1:7">
      <c r="A20" s="1" t="s">
        <v>134</v>
      </c>
      <c r="B20" s="4">
        <f>SUM(B17:B19)</f>
        <v>0</v>
      </c>
      <c r="C20" s="4">
        <f>SUM(C17:C19)</f>
        <v>550</v>
      </c>
      <c r="D20" s="4">
        <f>SUM(D17:D19)</f>
        <v>541</v>
      </c>
      <c r="F20" s="1"/>
      <c r="G20" s="51"/>
    </row>
    <row r="21" spans="1:7">
      <c r="A21" s="3" t="s">
        <v>135</v>
      </c>
      <c r="B21" s="5">
        <f>B13+B16-B20</f>
        <v>500</v>
      </c>
      <c r="C21" s="5">
        <f>C13+C16-C20</f>
        <v>330</v>
      </c>
      <c r="D21" s="5">
        <f>D13+D16-D20</f>
        <v>391</v>
      </c>
      <c r="F21" s="1"/>
      <c r="G21" s="51"/>
    </row>
    <row r="22" spans="1:7">
      <c r="F22" s="1"/>
      <c r="G22" s="51"/>
    </row>
    <row r="23" spans="1:7">
      <c r="A23" s="3" t="s">
        <v>136</v>
      </c>
      <c r="B23" s="3" t="s">
        <v>13</v>
      </c>
      <c r="C23" s="3" t="s">
        <v>25</v>
      </c>
      <c r="D23" s="3" t="s">
        <v>26</v>
      </c>
      <c r="F23" s="1"/>
      <c r="G23" s="51"/>
    </row>
    <row r="24" spans="1:7">
      <c r="A24" s="1" t="s">
        <v>137</v>
      </c>
      <c r="B24" s="1"/>
      <c r="C24" s="1"/>
      <c r="D24" s="1"/>
      <c r="F24" s="1"/>
      <c r="G24" s="51"/>
    </row>
    <row r="25" spans="1:7">
      <c r="A25" s="1" t="s">
        <v>138</v>
      </c>
      <c r="B25" s="42">
        <v>2000</v>
      </c>
      <c r="C25" s="7">
        <f>B25-C6</f>
        <v>1800</v>
      </c>
      <c r="D25" s="7">
        <f>C25-D6</f>
        <v>1600</v>
      </c>
      <c r="F25" s="1"/>
      <c r="G25" s="51"/>
    </row>
    <row r="26" spans="1:7">
      <c r="A26" s="1" t="s">
        <v>139</v>
      </c>
      <c r="B26" s="7">
        <f>10%*B2</f>
        <v>0</v>
      </c>
      <c r="C26" s="7">
        <f>10%*C2</f>
        <v>260</v>
      </c>
      <c r="D26" s="7">
        <f>10%*D2</f>
        <v>400</v>
      </c>
      <c r="F26" s="1"/>
      <c r="G26" s="51"/>
    </row>
    <row r="27" spans="1:7">
      <c r="A27" s="1" t="s">
        <v>5</v>
      </c>
      <c r="B27" s="7">
        <f>B21</f>
        <v>500</v>
      </c>
      <c r="C27" s="7">
        <f>C21</f>
        <v>330</v>
      </c>
      <c r="D27" s="7">
        <f>D21</f>
        <v>391</v>
      </c>
      <c r="F27" s="1"/>
      <c r="G27" s="51"/>
    </row>
    <row r="28" spans="1:7">
      <c r="A28" s="3" t="s">
        <v>140</v>
      </c>
      <c r="B28" s="3">
        <f>SUM(B24:B27)</f>
        <v>2500</v>
      </c>
      <c r="C28" s="3">
        <f>SUM(C24:C27)</f>
        <v>2390</v>
      </c>
      <c r="D28" s="3">
        <f>SUM(D24:D27)</f>
        <v>2391</v>
      </c>
      <c r="F28" s="1"/>
      <c r="G28" s="51"/>
    </row>
    <row r="29" spans="1:7">
      <c r="A29" s="1" t="s">
        <v>141</v>
      </c>
      <c r="B29" s="1"/>
      <c r="C29" s="1"/>
      <c r="D29" s="1"/>
      <c r="F29" s="1"/>
      <c r="G29" s="51"/>
    </row>
    <row r="30" spans="1:7">
      <c r="A30" s="1" t="s">
        <v>142</v>
      </c>
      <c r="B30" s="42">
        <v>1500</v>
      </c>
      <c r="C30" s="1">
        <f>B30</f>
        <v>1500</v>
      </c>
      <c r="D30" s="1">
        <f>C30</f>
        <v>1500</v>
      </c>
      <c r="F30" s="1"/>
      <c r="G30" s="51"/>
    </row>
    <row r="31" spans="1:7">
      <c r="A31" s="1" t="s">
        <v>143</v>
      </c>
      <c r="B31" s="7">
        <f>B10-B19</f>
        <v>0</v>
      </c>
      <c r="C31" s="7">
        <f>C10-C19</f>
        <v>90</v>
      </c>
      <c r="D31" s="7">
        <f>D10-D19+C31</f>
        <v>291</v>
      </c>
      <c r="F31" s="1"/>
      <c r="G31" s="51"/>
    </row>
    <row r="32" spans="1:7">
      <c r="A32" s="1" t="s">
        <v>144</v>
      </c>
      <c r="B32" s="42">
        <v>1000</v>
      </c>
      <c r="C32" s="7">
        <f>B32-C18</f>
        <v>800</v>
      </c>
      <c r="D32" s="7">
        <f>C32-D18</f>
        <v>600</v>
      </c>
      <c r="F32" s="1"/>
      <c r="G32" s="51"/>
    </row>
    <row r="33" spans="1:7">
      <c r="A33" s="3" t="s">
        <v>145</v>
      </c>
      <c r="B33" s="3">
        <f>SUM(B29:B32)</f>
        <v>2500</v>
      </c>
      <c r="C33" s="3">
        <f>SUM(C29:C32)</f>
        <v>2390</v>
      </c>
      <c r="D33" s="3">
        <f>SUM(D29:D32)</f>
        <v>2391</v>
      </c>
      <c r="F33" s="1"/>
      <c r="G33" s="51"/>
    </row>
    <row r="35" spans="1:7" ht="14.4">
      <c r="A35" s="305" t="s">
        <v>281</v>
      </c>
      <c r="B35" s="295" t="s">
        <v>282</v>
      </c>
      <c r="C35" s="295" t="s">
        <v>283</v>
      </c>
      <c r="D35" s="295" t="s">
        <v>284</v>
      </c>
    </row>
    <row r="36" spans="1:7">
      <c r="A36" t="s">
        <v>285</v>
      </c>
      <c r="B36" s="306">
        <f>B2</f>
        <v>0</v>
      </c>
      <c r="C36" s="306">
        <f t="shared" ref="C36:D36" si="0">C2</f>
        <v>2600</v>
      </c>
      <c r="D36" s="306">
        <f t="shared" si="0"/>
        <v>4000</v>
      </c>
    </row>
    <row r="37" spans="1:7">
      <c r="A37" t="s">
        <v>286</v>
      </c>
      <c r="B37" s="306">
        <f>B3</f>
        <v>0</v>
      </c>
      <c r="C37" s="306">
        <f t="shared" ref="C37:D37" si="1">C3</f>
        <v>2200</v>
      </c>
      <c r="D37" s="306">
        <f t="shared" si="1"/>
        <v>3250</v>
      </c>
    </row>
    <row r="38" spans="1:7">
      <c r="A38" t="s">
        <v>287</v>
      </c>
      <c r="B38" s="306">
        <f>B4</f>
        <v>0</v>
      </c>
      <c r="C38" s="306">
        <f t="shared" ref="C38:D38" si="2">C4</f>
        <v>1950</v>
      </c>
      <c r="D38" s="306">
        <f t="shared" si="2"/>
        <v>3000</v>
      </c>
    </row>
    <row r="39" spans="1:7">
      <c r="A39" t="s">
        <v>288</v>
      </c>
      <c r="B39" s="306">
        <f>B8</f>
        <v>0</v>
      </c>
      <c r="C39" s="306">
        <f t="shared" ref="C39:D39" si="3">C8</f>
        <v>300</v>
      </c>
      <c r="D39" s="306">
        <f t="shared" si="3"/>
        <v>670</v>
      </c>
    </row>
    <row r="40" spans="1:7">
      <c r="A40" s="307" t="s">
        <v>289</v>
      </c>
      <c r="B40" s="306">
        <f>B9</f>
        <v>0</v>
      </c>
      <c r="C40" s="306">
        <f t="shared" ref="C40:D41" si="4">C9</f>
        <v>120</v>
      </c>
      <c r="D40" s="306">
        <f t="shared" si="4"/>
        <v>268</v>
      </c>
    </row>
    <row r="41" spans="1:7">
      <c r="A41" s="307" t="s">
        <v>290</v>
      </c>
      <c r="B41" s="306">
        <f>B10</f>
        <v>0</v>
      </c>
      <c r="C41" s="306">
        <f t="shared" si="4"/>
        <v>180</v>
      </c>
      <c r="D41" s="306">
        <f t="shared" si="4"/>
        <v>402</v>
      </c>
    </row>
    <row r="43" spans="1:7" ht="14.4">
      <c r="A43" s="308" t="s">
        <v>291</v>
      </c>
      <c r="B43" s="295" t="s">
        <v>282</v>
      </c>
      <c r="C43" s="295" t="s">
        <v>283</v>
      </c>
      <c r="D43" s="295" t="s">
        <v>284</v>
      </c>
    </row>
    <row r="44" spans="1:7">
      <c r="A44" t="s">
        <v>292</v>
      </c>
      <c r="B44" s="306">
        <f>B41</f>
        <v>0</v>
      </c>
      <c r="C44" s="306">
        <f>C41</f>
        <v>180</v>
      </c>
      <c r="D44" s="306">
        <f t="shared" ref="D44" si="5">D41</f>
        <v>402</v>
      </c>
    </row>
    <row r="45" spans="1:7">
      <c r="A45" s="307" t="s">
        <v>293</v>
      </c>
      <c r="B45" s="306">
        <f>B6</f>
        <v>0</v>
      </c>
      <c r="C45" s="306">
        <f t="shared" ref="C45:D45" si="6">C6</f>
        <v>200</v>
      </c>
      <c r="D45" s="306">
        <f t="shared" si="6"/>
        <v>200</v>
      </c>
    </row>
    <row r="46" spans="1:7">
      <c r="A46" s="307" t="s">
        <v>294</v>
      </c>
      <c r="B46" s="306">
        <f>B44+B45</f>
        <v>0</v>
      </c>
      <c r="C46" s="306">
        <f t="shared" ref="C46:D46" si="7">C44+C45</f>
        <v>380</v>
      </c>
      <c r="D46" s="306">
        <f t="shared" si="7"/>
        <v>602</v>
      </c>
    </row>
    <row r="47" spans="1:7">
      <c r="A47" s="307" t="s">
        <v>295</v>
      </c>
      <c r="B47" s="306">
        <f>-B15</f>
        <v>0</v>
      </c>
      <c r="C47" s="306">
        <f t="shared" ref="C47" si="8">-C15</f>
        <v>-380</v>
      </c>
      <c r="D47" s="306">
        <f>-(D36-C36)*$H$6</f>
        <v>0</v>
      </c>
    </row>
    <row r="48" spans="1:7">
      <c r="A48" s="307" t="s">
        <v>296</v>
      </c>
      <c r="B48" s="306">
        <f>B46+B47</f>
        <v>0</v>
      </c>
      <c r="C48" s="306">
        <f t="shared" ref="C48:D48" si="9">C46+C47</f>
        <v>0</v>
      </c>
      <c r="D48" s="306">
        <f t="shared" si="9"/>
        <v>602</v>
      </c>
    </row>
    <row r="49" spans="1:4">
      <c r="A49" s="307" t="s">
        <v>297</v>
      </c>
      <c r="B49" s="306">
        <f>-B24</f>
        <v>0</v>
      </c>
      <c r="C49" s="306">
        <v>0</v>
      </c>
      <c r="D49" s="306">
        <v>0</v>
      </c>
    </row>
    <row r="50" spans="1:4">
      <c r="A50" s="307" t="s">
        <v>298</v>
      </c>
      <c r="B50" s="306">
        <f>B48+B49</f>
        <v>0</v>
      </c>
      <c r="C50" s="306">
        <f t="shared" ref="C50:D50" si="10">C48+C49</f>
        <v>0</v>
      </c>
      <c r="D50" s="306">
        <f t="shared" si="10"/>
        <v>602</v>
      </c>
    </row>
  </sheetData>
  <mergeCells count="2">
    <mergeCell ref="H1:I1"/>
    <mergeCell ref="H7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D4E60-90B5-4F0A-A96B-722E48BEE10F}">
  <dimension ref="A1:L98"/>
  <sheetViews>
    <sheetView topLeftCell="A53" zoomScale="55" zoomScaleNormal="55" workbookViewId="0">
      <selection activeCell="D69" sqref="D69"/>
    </sheetView>
  </sheetViews>
  <sheetFormatPr baseColWidth="10" defaultRowHeight="13.8"/>
  <cols>
    <col min="1" max="1" width="24.296875" customWidth="1"/>
    <col min="2" max="2" width="24.69921875" customWidth="1"/>
    <col min="3" max="3" width="24" bestFit="1" customWidth="1"/>
    <col min="4" max="4" width="22.19921875" customWidth="1"/>
    <col min="5" max="5" width="22.5" customWidth="1"/>
    <col min="6" max="6" width="19.796875" customWidth="1"/>
    <col min="7" max="7" width="13.296875" customWidth="1"/>
    <col min="8" max="8" width="5.19921875" customWidth="1"/>
    <col min="9" max="9" width="58.09765625" customWidth="1"/>
    <col min="10" max="10" width="16" bestFit="1" customWidth="1"/>
    <col min="11" max="11" width="14.296875" bestFit="1" customWidth="1"/>
  </cols>
  <sheetData>
    <row r="1" spans="1:10" ht="32.4">
      <c r="A1" s="311" t="s">
        <v>197</v>
      </c>
      <c r="B1" s="312"/>
      <c r="C1" s="312"/>
      <c r="D1" s="312"/>
      <c r="E1" s="312"/>
      <c r="F1" s="312"/>
      <c r="G1" s="312"/>
      <c r="H1" s="312"/>
      <c r="I1" s="312"/>
      <c r="J1" s="312"/>
    </row>
    <row r="3" spans="1:10">
      <c r="A3" s="96"/>
      <c r="B3" s="97"/>
      <c r="C3" s="101" t="s">
        <v>162</v>
      </c>
      <c r="D3" s="179" t="s">
        <v>214</v>
      </c>
      <c r="E3" s="181" t="s">
        <v>220</v>
      </c>
      <c r="F3" s="180" t="s">
        <v>211</v>
      </c>
      <c r="G3" s="182" t="s">
        <v>197</v>
      </c>
      <c r="H3" s="8"/>
      <c r="I3" s="236"/>
    </row>
    <row r="4" spans="1:10">
      <c r="A4" s="335" t="s">
        <v>0</v>
      </c>
      <c r="B4" s="238" t="s">
        <v>15</v>
      </c>
      <c r="C4" s="105">
        <v>25000</v>
      </c>
      <c r="D4" s="45">
        <v>30000</v>
      </c>
      <c r="E4" s="46">
        <v>30000</v>
      </c>
      <c r="F4" s="105">
        <v>30000</v>
      </c>
      <c r="G4" s="183">
        <f t="shared" ref="G4:G19" si="0">D4-F4</f>
        <v>0</v>
      </c>
      <c r="H4" s="1" t="str">
        <f t="shared" ref="H4:H22" si="1">IF(G4&gt;0,"F",IF(G4&lt;0,"U",""))</f>
        <v/>
      </c>
      <c r="I4" s="236" t="str">
        <f>TEXT(B4,"")&amp;" Var"</f>
        <v>Volume Var</v>
      </c>
    </row>
    <row r="5" spans="1:10">
      <c r="A5" s="327"/>
      <c r="B5" s="236" t="s">
        <v>16</v>
      </c>
      <c r="C5" s="256">
        <v>50</v>
      </c>
      <c r="D5" s="257">
        <v>50</v>
      </c>
      <c r="E5" s="49">
        <v>50</v>
      </c>
      <c r="F5" s="256">
        <v>45</v>
      </c>
      <c r="G5" s="183">
        <f t="shared" si="0"/>
        <v>5</v>
      </c>
      <c r="H5" s="1" t="str">
        <f t="shared" si="1"/>
        <v>F</v>
      </c>
      <c r="I5" s="236" t="str">
        <f>TEXT(B5,"")&amp;" Var"</f>
        <v>Unit Price Var</v>
      </c>
    </row>
    <row r="6" spans="1:10">
      <c r="A6" s="327"/>
      <c r="B6" s="95" t="s">
        <v>221</v>
      </c>
      <c r="C6" s="103">
        <f>C4*C5</f>
        <v>1250000</v>
      </c>
      <c r="D6" s="103">
        <f t="shared" ref="D6:F6" si="2">D4*D5</f>
        <v>1500000</v>
      </c>
      <c r="E6" s="103">
        <f t="shared" si="2"/>
        <v>1500000</v>
      </c>
      <c r="F6" s="103">
        <f t="shared" si="2"/>
        <v>1350000</v>
      </c>
      <c r="G6" s="184">
        <f>F6-C6</f>
        <v>100000</v>
      </c>
      <c r="H6" s="102" t="str">
        <f t="shared" si="1"/>
        <v>F</v>
      </c>
      <c r="I6" s="236" t="str">
        <f t="shared" ref="I6:I21" si="3">TEXT(B6,"")&amp;" Var"</f>
        <v>Sales turnover Var</v>
      </c>
    </row>
    <row r="7" spans="1:10">
      <c r="A7" s="327" t="s">
        <v>7</v>
      </c>
      <c r="B7" s="236" t="s">
        <v>38</v>
      </c>
      <c r="C7" s="256">
        <f>C26</f>
        <v>1</v>
      </c>
      <c r="D7" s="257">
        <f>C26</f>
        <v>1</v>
      </c>
      <c r="E7" s="257">
        <f>30250/E4</f>
        <v>1.0083333333333333</v>
      </c>
      <c r="F7" s="257">
        <f>30250/F4</f>
        <v>1.0083333333333333</v>
      </c>
      <c r="G7" s="183">
        <f t="shared" si="0"/>
        <v>-8.3333333333333037E-3</v>
      </c>
      <c r="H7" s="1" t="str">
        <f t="shared" si="1"/>
        <v>U</v>
      </c>
      <c r="I7" s="236" t="str">
        <f t="shared" si="3"/>
        <v>RM Usage Var</v>
      </c>
    </row>
    <row r="8" spans="1:10">
      <c r="A8" s="327"/>
      <c r="B8" s="236" t="s">
        <v>34</v>
      </c>
      <c r="C8" s="105">
        <f>C4*C7</f>
        <v>25000</v>
      </c>
      <c r="D8" s="45">
        <f>D7*D4</f>
        <v>30000</v>
      </c>
      <c r="E8" s="45">
        <v>30000</v>
      </c>
      <c r="F8" s="45">
        <v>30000</v>
      </c>
      <c r="G8" s="183">
        <f>F8-C8</f>
        <v>5000</v>
      </c>
      <c r="H8" s="1" t="str">
        <f t="shared" si="1"/>
        <v>F</v>
      </c>
      <c r="I8" s="236" t="str">
        <f t="shared" si="3"/>
        <v>RM Used Var</v>
      </c>
    </row>
    <row r="9" spans="1:10">
      <c r="A9" s="327"/>
      <c r="B9" s="236" t="s">
        <v>37</v>
      </c>
      <c r="C9" s="256">
        <v>1.1000000000000001</v>
      </c>
      <c r="D9" s="257">
        <v>1.1000000000000001</v>
      </c>
      <c r="E9" s="257">
        <v>1.1000000000000001</v>
      </c>
      <c r="F9" s="256">
        <v>1</v>
      </c>
      <c r="G9" s="183">
        <f t="shared" si="0"/>
        <v>0.10000000000000009</v>
      </c>
      <c r="H9" s="1" t="str">
        <f t="shared" si="1"/>
        <v>F</v>
      </c>
      <c r="I9" s="236" t="str">
        <f t="shared" si="3"/>
        <v>RM Unit Price Var</v>
      </c>
    </row>
    <row r="10" spans="1:10">
      <c r="A10" s="327"/>
      <c r="B10" s="236" t="s">
        <v>35</v>
      </c>
      <c r="C10" s="105">
        <f>C7*C8*C9</f>
        <v>27500.000000000004</v>
      </c>
      <c r="D10" s="105">
        <f t="shared" ref="D10" si="4">D7*D8*D9</f>
        <v>33000</v>
      </c>
      <c r="E10" s="105">
        <f>E7*E8*E9</f>
        <v>33275</v>
      </c>
      <c r="F10" s="105">
        <f>F7*F8*F9</f>
        <v>30250</v>
      </c>
      <c r="G10" s="183">
        <f>C10-F10</f>
        <v>-2749.9999999999964</v>
      </c>
      <c r="H10" s="1" t="str">
        <f t="shared" si="1"/>
        <v>U</v>
      </c>
      <c r="I10" s="29" t="str">
        <f>TEXT(B10,"")&amp;" Var or Variable Cost Var"</f>
        <v>RM Cost Var or Variable Cost Var</v>
      </c>
    </row>
    <row r="11" spans="1:10">
      <c r="A11" s="327" t="s">
        <v>39</v>
      </c>
      <c r="B11" s="236" t="s">
        <v>32</v>
      </c>
      <c r="C11" s="104">
        <f>C6-C10</f>
        <v>1222500</v>
      </c>
      <c r="D11" s="104">
        <f t="shared" ref="D11:F11" si="5">D6-D10</f>
        <v>1467000</v>
      </c>
      <c r="E11" s="104">
        <f t="shared" si="5"/>
        <v>1466725</v>
      </c>
      <c r="F11" s="104">
        <f t="shared" si="5"/>
        <v>1319750</v>
      </c>
      <c r="G11" s="183">
        <f>F11-C11</f>
        <v>97250</v>
      </c>
      <c r="H11" s="1" t="str">
        <f t="shared" si="1"/>
        <v>F</v>
      </c>
      <c r="I11" s="236" t="str">
        <f t="shared" si="3"/>
        <v>Contribution Margin Var</v>
      </c>
    </row>
    <row r="12" spans="1:10">
      <c r="A12" s="327"/>
      <c r="B12" s="236" t="s">
        <v>33</v>
      </c>
      <c r="C12" s="105">
        <v>800000</v>
      </c>
      <c r="D12" s="105">
        <v>800000</v>
      </c>
      <c r="E12" s="105">
        <v>800000</v>
      </c>
      <c r="F12" s="105">
        <v>850000</v>
      </c>
      <c r="G12" s="183">
        <f>C12-F12</f>
        <v>-50000</v>
      </c>
      <c r="H12" s="1" t="str">
        <f t="shared" si="1"/>
        <v>U</v>
      </c>
      <c r="I12" s="29" t="str">
        <f t="shared" si="3"/>
        <v>Fixed Costs Var</v>
      </c>
    </row>
    <row r="13" spans="1:10">
      <c r="A13" s="327"/>
      <c r="B13" s="236" t="s">
        <v>99</v>
      </c>
      <c r="C13" s="105">
        <f>E30</f>
        <v>0</v>
      </c>
      <c r="D13" s="45">
        <f>E30</f>
        <v>0</v>
      </c>
      <c r="E13" s="45">
        <f>E30</f>
        <v>0</v>
      </c>
      <c r="F13" s="105">
        <f>E60</f>
        <v>0</v>
      </c>
      <c r="G13" s="183">
        <f>D13-F13</f>
        <v>0</v>
      </c>
      <c r="H13" s="1" t="str">
        <f t="shared" si="1"/>
        <v/>
      </c>
      <c r="I13" s="31" t="str">
        <f t="shared" si="3"/>
        <v>Other fixed costs Var</v>
      </c>
    </row>
    <row r="14" spans="1:10">
      <c r="A14" s="327"/>
      <c r="B14" s="236" t="s">
        <v>40</v>
      </c>
      <c r="C14" s="46">
        <f>C27*B27</f>
        <v>0</v>
      </c>
      <c r="D14" s="46">
        <f>C37*B37</f>
        <v>0</v>
      </c>
      <c r="E14" s="235">
        <f>B47*C47</f>
        <v>0</v>
      </c>
      <c r="F14" s="235">
        <f>B47*C47</f>
        <v>0</v>
      </c>
      <c r="G14" s="183">
        <f t="shared" si="0"/>
        <v>0</v>
      </c>
      <c r="H14" s="1" t="str">
        <f t="shared" si="1"/>
        <v/>
      </c>
      <c r="I14" s="236" t="str">
        <f t="shared" si="3"/>
        <v>Labour Quantity Var</v>
      </c>
    </row>
    <row r="15" spans="1:10">
      <c r="A15" s="327"/>
      <c r="B15" s="236" t="s">
        <v>42</v>
      </c>
      <c r="C15" s="256">
        <f>D27</f>
        <v>0</v>
      </c>
      <c r="D15" s="257">
        <f>D27</f>
        <v>0</v>
      </c>
      <c r="E15" s="257">
        <f>D27</f>
        <v>0</v>
      </c>
      <c r="F15" s="256">
        <f>D57</f>
        <v>0</v>
      </c>
      <c r="G15" s="183">
        <f t="shared" si="0"/>
        <v>0</v>
      </c>
      <c r="H15" s="1" t="str">
        <f t="shared" si="1"/>
        <v/>
      </c>
      <c r="I15" s="236" t="str">
        <f t="shared" si="3"/>
        <v>Labour Unit Price Var</v>
      </c>
    </row>
    <row r="16" spans="1:10">
      <c r="A16" s="327"/>
      <c r="B16" s="236" t="s">
        <v>155</v>
      </c>
      <c r="C16" s="256">
        <f>C27</f>
        <v>0</v>
      </c>
      <c r="D16" s="256">
        <f>C27</f>
        <v>0</v>
      </c>
      <c r="E16" s="256">
        <f>C57</f>
        <v>0</v>
      </c>
      <c r="F16" s="256">
        <f>C57</f>
        <v>0</v>
      </c>
      <c r="G16" s="183"/>
      <c r="H16" s="1"/>
      <c r="I16" s="236" t="str">
        <f t="shared" si="3"/>
        <v>Labour per unit Var</v>
      </c>
    </row>
    <row r="17" spans="1:10">
      <c r="A17" s="327"/>
      <c r="B17" s="236" t="s">
        <v>41</v>
      </c>
      <c r="C17" s="105">
        <f>C14*C15</f>
        <v>0</v>
      </c>
      <c r="D17" s="105">
        <f t="shared" ref="D17:E17" si="6">D14*D15</f>
        <v>0</v>
      </c>
      <c r="E17" s="105">
        <f t="shared" si="6"/>
        <v>0</v>
      </c>
      <c r="F17" s="105">
        <f>F14*F15</f>
        <v>0</v>
      </c>
      <c r="G17" s="183">
        <f>D17-F17</f>
        <v>0</v>
      </c>
      <c r="H17" s="1" t="str">
        <f t="shared" si="1"/>
        <v/>
      </c>
      <c r="I17" s="236" t="str">
        <f t="shared" si="3"/>
        <v>Labour Cost Var</v>
      </c>
    </row>
    <row r="18" spans="1:10">
      <c r="A18" s="327"/>
      <c r="B18" s="236" t="s">
        <v>44</v>
      </c>
      <c r="C18" s="46">
        <f>C4</f>
        <v>25000</v>
      </c>
      <c r="D18" s="46">
        <f t="shared" ref="D18:F18" si="7">D4</f>
        <v>30000</v>
      </c>
      <c r="E18" s="46">
        <f t="shared" si="7"/>
        <v>30000</v>
      </c>
      <c r="F18" s="46">
        <f t="shared" si="7"/>
        <v>30000</v>
      </c>
      <c r="G18" s="183">
        <f>D18-F18</f>
        <v>0</v>
      </c>
      <c r="H18" s="1" t="str">
        <f t="shared" si="1"/>
        <v/>
      </c>
      <c r="I18" s="236" t="str">
        <f t="shared" si="3"/>
        <v>Overhead Quantity Var</v>
      </c>
    </row>
    <row r="19" spans="1:10">
      <c r="A19" s="327"/>
      <c r="B19" s="236" t="s">
        <v>45</v>
      </c>
      <c r="C19" s="235">
        <v>0.5</v>
      </c>
      <c r="D19" s="235">
        <v>0.5</v>
      </c>
      <c r="E19" s="235">
        <v>0.5</v>
      </c>
      <c r="F19" s="235">
        <v>0.5</v>
      </c>
      <c r="G19" s="183">
        <f t="shared" si="0"/>
        <v>0</v>
      </c>
      <c r="H19" s="1" t="str">
        <f t="shared" si="1"/>
        <v/>
      </c>
      <c r="I19" s="236" t="str">
        <f t="shared" si="3"/>
        <v>Overhead Unit Price Var</v>
      </c>
    </row>
    <row r="20" spans="1:10">
      <c r="A20" s="327"/>
      <c r="B20" s="236" t="s">
        <v>46</v>
      </c>
      <c r="C20" s="258">
        <f>C18*C19</f>
        <v>12500</v>
      </c>
      <c r="D20" s="258">
        <f t="shared" ref="D20:F20" si="8">D18*D19</f>
        <v>15000</v>
      </c>
      <c r="E20" s="258">
        <f t="shared" si="8"/>
        <v>15000</v>
      </c>
      <c r="F20" s="258">
        <f t="shared" si="8"/>
        <v>15000</v>
      </c>
      <c r="G20" s="183">
        <f>C20-F20</f>
        <v>-2500</v>
      </c>
      <c r="H20" s="1" t="str">
        <f t="shared" si="1"/>
        <v>U</v>
      </c>
      <c r="I20" s="236" t="str">
        <f t="shared" si="3"/>
        <v>Overhead Cost Var</v>
      </c>
    </row>
    <row r="21" spans="1:10">
      <c r="A21" s="236"/>
      <c r="B21" s="98" t="s">
        <v>47</v>
      </c>
      <c r="C21" s="99">
        <f>C6-C10-C12-C13-C17-C20</f>
        <v>410000</v>
      </c>
      <c r="D21" s="99">
        <f t="shared" ref="D21:E21" si="9">D6-D10-D12-D13-D17-D20</f>
        <v>652000</v>
      </c>
      <c r="E21" s="99">
        <f t="shared" si="9"/>
        <v>651725</v>
      </c>
      <c r="F21" s="99">
        <f>F6-F10-F12-F13-F17-F20</f>
        <v>454750</v>
      </c>
      <c r="G21" s="100">
        <f>F21-C21</f>
        <v>44750</v>
      </c>
      <c r="H21" s="1" t="str">
        <f t="shared" si="1"/>
        <v>F</v>
      </c>
      <c r="I21" s="236" t="str">
        <f t="shared" si="3"/>
        <v>Net Profit Var</v>
      </c>
      <c r="J21" s="229" t="s">
        <v>252</v>
      </c>
    </row>
    <row r="22" spans="1:10" ht="14.4" thickBot="1">
      <c r="C22" s="88"/>
      <c r="G22" s="2">
        <f>G6+G10+G12+G20</f>
        <v>44750</v>
      </c>
      <c r="H22" s="259" t="str">
        <f t="shared" si="1"/>
        <v>F</v>
      </c>
    </row>
    <row r="23" spans="1:10" ht="14.4">
      <c r="A23" s="409" t="s">
        <v>204</v>
      </c>
      <c r="B23" s="410"/>
      <c r="C23" s="410"/>
      <c r="D23" s="410"/>
      <c r="E23" s="411"/>
      <c r="F23" s="91"/>
    </row>
    <row r="24" spans="1:10" ht="14.4">
      <c r="A24" s="144"/>
      <c r="B24" s="145" t="s">
        <v>205</v>
      </c>
      <c r="C24" s="145" t="s">
        <v>206</v>
      </c>
      <c r="D24" s="145" t="s">
        <v>207</v>
      </c>
      <c r="E24" s="160" t="s">
        <v>208</v>
      </c>
      <c r="F24" s="91"/>
    </row>
    <row r="25" spans="1:10" ht="14.4">
      <c r="A25" s="146" t="s">
        <v>209</v>
      </c>
      <c r="B25" s="147">
        <f>C4</f>
        <v>25000</v>
      </c>
      <c r="C25" s="148"/>
      <c r="D25" s="207">
        <f>C5</f>
        <v>50</v>
      </c>
      <c r="E25" s="161">
        <f>B25*D25</f>
        <v>1250000</v>
      </c>
      <c r="F25" s="91"/>
    </row>
    <row r="26" spans="1:10" ht="14.4">
      <c r="A26" s="146" t="s">
        <v>7</v>
      </c>
      <c r="B26" s="149">
        <f>C8</f>
        <v>25000</v>
      </c>
      <c r="C26" s="260">
        <v>1</v>
      </c>
      <c r="D26" s="261">
        <f>C9</f>
        <v>1.1000000000000001</v>
      </c>
      <c r="E26" s="163">
        <f>B26*C26*D26</f>
        <v>27500.000000000004</v>
      </c>
      <c r="F26" s="91"/>
    </row>
    <row r="27" spans="1:10" ht="14.4">
      <c r="A27" s="146" t="s">
        <v>111</v>
      </c>
      <c r="B27" s="149"/>
      <c r="C27" s="262"/>
      <c r="D27" s="263"/>
      <c r="E27" s="163"/>
      <c r="F27" s="91"/>
    </row>
    <row r="28" spans="1:10" ht="14.4">
      <c r="A28" s="146" t="s">
        <v>235</v>
      </c>
      <c r="B28" s="149">
        <f>C18</f>
        <v>25000</v>
      </c>
      <c r="C28" s="262">
        <f>C18/C4</f>
        <v>1</v>
      </c>
      <c r="D28" s="263">
        <f>C19</f>
        <v>0.5</v>
      </c>
      <c r="E28" s="163">
        <f>B28*C28*D28</f>
        <v>12500</v>
      </c>
      <c r="F28" s="91"/>
    </row>
    <row r="29" spans="1:10" ht="14.4">
      <c r="A29" s="146" t="s">
        <v>82</v>
      </c>
      <c r="B29" s="230">
        <f>C12</f>
        <v>800000</v>
      </c>
      <c r="C29" s="262"/>
      <c r="D29" s="151"/>
      <c r="E29" s="163">
        <f>B29</f>
        <v>800000</v>
      </c>
      <c r="F29" s="91"/>
    </row>
    <row r="30" spans="1:10" ht="14.4">
      <c r="A30" s="189" t="s">
        <v>236</v>
      </c>
      <c r="B30" s="150"/>
      <c r="C30" s="262"/>
      <c r="D30" s="151"/>
      <c r="E30" s="163"/>
      <c r="F30" s="91"/>
    </row>
    <row r="31" spans="1:10" ht="14.4">
      <c r="A31" s="152" t="s">
        <v>125</v>
      </c>
      <c r="B31" s="153"/>
      <c r="C31" s="154"/>
      <c r="D31" s="155"/>
      <c r="E31" s="164">
        <f>E25-E26-E27-E28-E29-E30</f>
        <v>410000</v>
      </c>
      <c r="F31" s="91"/>
    </row>
    <row r="32" spans="1:10" ht="14.4">
      <c r="A32" s="144"/>
      <c r="B32" s="262"/>
      <c r="C32" s="262"/>
      <c r="D32" s="262"/>
      <c r="E32" s="165"/>
      <c r="F32" s="91"/>
    </row>
    <row r="33" spans="1:12" ht="14.4">
      <c r="A33" s="412" t="s">
        <v>214</v>
      </c>
      <c r="B33" s="434"/>
      <c r="C33" s="434"/>
      <c r="D33" s="434"/>
      <c r="E33" s="414"/>
      <c r="F33" s="91"/>
    </row>
    <row r="34" spans="1:12" ht="14.4">
      <c r="A34" s="144"/>
      <c r="B34" s="145" t="s">
        <v>212</v>
      </c>
      <c r="C34" s="145" t="s">
        <v>206</v>
      </c>
      <c r="D34" s="145" t="s">
        <v>213</v>
      </c>
      <c r="E34" s="160" t="s">
        <v>208</v>
      </c>
      <c r="F34" s="91"/>
    </row>
    <row r="35" spans="1:12" ht="14.4">
      <c r="A35" s="146" t="s">
        <v>209</v>
      </c>
      <c r="B35" s="147">
        <f>D4</f>
        <v>30000</v>
      </c>
      <c r="C35" s="148"/>
      <c r="D35" s="207">
        <f>D5</f>
        <v>50</v>
      </c>
      <c r="E35" s="161">
        <f>B35*D35</f>
        <v>1500000</v>
      </c>
      <c r="F35" s="264"/>
    </row>
    <row r="36" spans="1:12" ht="14.4">
      <c r="A36" s="146" t="s">
        <v>210</v>
      </c>
      <c r="B36" s="149">
        <f>D8</f>
        <v>30000</v>
      </c>
      <c r="C36" s="260">
        <f>D7</f>
        <v>1</v>
      </c>
      <c r="D36" s="261">
        <f>D9</f>
        <v>1.1000000000000001</v>
      </c>
      <c r="E36" s="163">
        <f>B36*C36*D36</f>
        <v>33000</v>
      </c>
      <c r="F36" s="264"/>
    </row>
    <row r="37" spans="1:12" ht="14.4">
      <c r="A37" s="146" t="s">
        <v>111</v>
      </c>
      <c r="B37" s="149"/>
      <c r="C37" s="262"/>
      <c r="D37" s="263"/>
      <c r="E37" s="163"/>
      <c r="F37" s="91"/>
    </row>
    <row r="38" spans="1:12" ht="14.4">
      <c r="A38" s="146" t="s">
        <v>235</v>
      </c>
      <c r="B38" s="149">
        <f>D4</f>
        <v>30000</v>
      </c>
      <c r="C38" s="262">
        <f>D18/D4</f>
        <v>1</v>
      </c>
      <c r="D38" s="263">
        <f>D19</f>
        <v>0.5</v>
      </c>
      <c r="E38" s="163">
        <f>B38*C38*D38</f>
        <v>15000</v>
      </c>
      <c r="F38" s="91"/>
    </row>
    <row r="39" spans="1:12" ht="14.4">
      <c r="A39" s="146" t="s">
        <v>82</v>
      </c>
      <c r="B39" s="230">
        <f>D12</f>
        <v>800000</v>
      </c>
      <c r="C39" s="262"/>
      <c r="D39" s="151"/>
      <c r="E39" s="163">
        <f>B39</f>
        <v>800000</v>
      </c>
      <c r="F39" s="91"/>
    </row>
    <row r="40" spans="1:12" ht="14.4">
      <c r="A40" s="189" t="s">
        <v>236</v>
      </c>
      <c r="B40" s="150"/>
      <c r="C40" s="262"/>
      <c r="D40" s="151"/>
      <c r="E40" s="163"/>
      <c r="F40" s="91"/>
    </row>
    <row r="41" spans="1:12" ht="14.4">
      <c r="A41" s="152" t="s">
        <v>125</v>
      </c>
      <c r="B41" s="153"/>
      <c r="C41" s="154"/>
      <c r="D41" s="155"/>
      <c r="E41" s="164">
        <f>E35-E36-E37-E38-E39-E40</f>
        <v>652000</v>
      </c>
      <c r="F41" s="91"/>
    </row>
    <row r="42" spans="1:12" ht="14.4">
      <c r="A42" s="144"/>
      <c r="B42" s="262"/>
      <c r="C42" s="262"/>
      <c r="D42" s="151"/>
      <c r="E42" s="166"/>
      <c r="F42" s="91"/>
    </row>
    <row r="43" spans="1:12" ht="15" thickBot="1">
      <c r="A43" s="415" t="s">
        <v>219</v>
      </c>
      <c r="B43" s="435"/>
      <c r="C43" s="435"/>
      <c r="D43" s="435"/>
      <c r="E43" s="417"/>
      <c r="F43" s="91"/>
    </row>
    <row r="44" spans="1:12" ht="14.4">
      <c r="A44" s="144"/>
      <c r="B44" s="145" t="s">
        <v>215</v>
      </c>
      <c r="C44" s="145" t="s">
        <v>12</v>
      </c>
      <c r="D44" s="145" t="s">
        <v>207</v>
      </c>
      <c r="E44" s="160" t="s">
        <v>208</v>
      </c>
      <c r="F44" s="91"/>
      <c r="H44" s="72"/>
      <c r="I44" s="418" t="s">
        <v>188</v>
      </c>
      <c r="J44" s="418"/>
      <c r="K44" s="418"/>
      <c r="L44" s="73"/>
    </row>
    <row r="45" spans="1:12" ht="14.4">
      <c r="A45" s="146" t="s">
        <v>209</v>
      </c>
      <c r="B45" s="147">
        <f>E4</f>
        <v>30000</v>
      </c>
      <c r="C45" s="148"/>
      <c r="D45" s="207">
        <f>E5</f>
        <v>50</v>
      </c>
      <c r="E45" s="161">
        <f>B45*D45</f>
        <v>1500000</v>
      </c>
      <c r="F45" s="91"/>
      <c r="H45" s="74"/>
      <c r="I45" s="436"/>
      <c r="J45" s="436"/>
      <c r="K45" s="436"/>
      <c r="L45" s="75"/>
    </row>
    <row r="46" spans="1:12" ht="14.4">
      <c r="A46" s="146" t="s">
        <v>210</v>
      </c>
      <c r="B46" s="149">
        <v>30000</v>
      </c>
      <c r="C46" s="260">
        <f>E7</f>
        <v>1.0083333333333333</v>
      </c>
      <c r="D46" s="261">
        <f>E9</f>
        <v>1.1000000000000001</v>
      </c>
      <c r="E46" s="163">
        <f>B46*C46*D46</f>
        <v>33275</v>
      </c>
      <c r="F46" s="91"/>
      <c r="H46" s="74"/>
      <c r="I46" t="s">
        <v>192</v>
      </c>
      <c r="J46" s="61">
        <v>0</v>
      </c>
      <c r="L46" s="75"/>
    </row>
    <row r="47" spans="1:12" ht="14.4">
      <c r="A47" s="146" t="s">
        <v>111</v>
      </c>
      <c r="B47" s="149"/>
      <c r="C47" s="262"/>
      <c r="D47" s="263"/>
      <c r="E47" s="163"/>
      <c r="F47" s="91"/>
      <c r="H47" s="74"/>
      <c r="L47" s="75"/>
    </row>
    <row r="48" spans="1:12" ht="14.4">
      <c r="A48" s="146" t="s">
        <v>235</v>
      </c>
      <c r="B48" s="149">
        <f>E18</f>
        <v>30000</v>
      </c>
      <c r="C48" s="262">
        <f>E18/E4</f>
        <v>1</v>
      </c>
      <c r="D48" s="263">
        <f>E19</f>
        <v>0.5</v>
      </c>
      <c r="E48" s="163">
        <f>B48*C48*D48</f>
        <v>15000</v>
      </c>
      <c r="F48" s="91"/>
      <c r="H48" s="74"/>
      <c r="I48" s="69" t="s">
        <v>189</v>
      </c>
      <c r="J48" s="70" t="s">
        <v>190</v>
      </c>
      <c r="K48" s="71" t="s">
        <v>191</v>
      </c>
      <c r="L48" s="75"/>
    </row>
    <row r="49" spans="1:12" ht="14.4">
      <c r="A49" s="146" t="s">
        <v>82</v>
      </c>
      <c r="B49" s="230">
        <f>E12</f>
        <v>800000</v>
      </c>
      <c r="C49" s="262"/>
      <c r="D49" s="151"/>
      <c r="E49" s="163">
        <f>B49</f>
        <v>800000</v>
      </c>
      <c r="F49" s="91"/>
      <c r="H49" s="74"/>
      <c r="I49" s="56" t="s">
        <v>167</v>
      </c>
      <c r="J49">
        <v>8</v>
      </c>
      <c r="K49" s="57">
        <v>12</v>
      </c>
      <c r="L49" s="75"/>
    </row>
    <row r="50" spans="1:12" ht="14.4">
      <c r="A50" s="189" t="s">
        <v>236</v>
      </c>
      <c r="B50" s="150"/>
      <c r="C50" s="262"/>
      <c r="D50" s="151"/>
      <c r="E50" s="163"/>
      <c r="F50" s="91"/>
      <c r="H50" s="74"/>
      <c r="I50" s="56" t="s">
        <v>168</v>
      </c>
      <c r="J50">
        <v>32</v>
      </c>
      <c r="K50" s="57">
        <v>40</v>
      </c>
      <c r="L50" s="75"/>
    </row>
    <row r="51" spans="1:12" ht="14.4">
      <c r="A51" s="152" t="s">
        <v>125</v>
      </c>
      <c r="B51" s="153"/>
      <c r="C51" s="154"/>
      <c r="D51" s="155"/>
      <c r="E51" s="164">
        <f>+E45-E46-E47-E48-E49-E50</f>
        <v>651725</v>
      </c>
      <c r="F51" s="91"/>
      <c r="H51" s="74"/>
      <c r="I51" s="79" t="s">
        <v>171</v>
      </c>
      <c r="J51" s="195">
        <f>K51*(1-0.05)</f>
        <v>432012.5</v>
      </c>
      <c r="K51" s="195">
        <f>B97</f>
        <v>454750</v>
      </c>
      <c r="L51" s="75"/>
    </row>
    <row r="52" spans="1:12" ht="15" thickBot="1">
      <c r="A52" s="144"/>
      <c r="B52" s="262"/>
      <c r="C52" s="262"/>
      <c r="D52" s="151"/>
      <c r="E52" s="165"/>
      <c r="F52" s="91"/>
      <c r="H52" s="76"/>
      <c r="I52" s="77"/>
      <c r="J52" s="77"/>
      <c r="K52" s="77"/>
      <c r="L52" s="78"/>
    </row>
    <row r="53" spans="1:12" ht="14.4">
      <c r="A53" s="406" t="s">
        <v>211</v>
      </c>
      <c r="B53" s="407"/>
      <c r="C53" s="407"/>
      <c r="D53" s="407"/>
      <c r="E53" s="408"/>
      <c r="F53" s="91"/>
    </row>
    <row r="54" spans="1:12" ht="14.4">
      <c r="A54" s="144"/>
      <c r="B54" s="159" t="s">
        <v>215</v>
      </c>
      <c r="C54" s="159" t="s">
        <v>12</v>
      </c>
      <c r="D54" s="159" t="s">
        <v>207</v>
      </c>
      <c r="E54" s="167" t="s">
        <v>208</v>
      </c>
      <c r="F54" s="91"/>
    </row>
    <row r="55" spans="1:12" ht="14.4">
      <c r="A55" s="146" t="s">
        <v>209</v>
      </c>
      <c r="B55" s="147">
        <f>F4</f>
        <v>30000</v>
      </c>
      <c r="C55" s="148"/>
      <c r="D55" s="207">
        <f>F5</f>
        <v>45</v>
      </c>
      <c r="E55" s="161">
        <f>B55*D55</f>
        <v>1350000</v>
      </c>
      <c r="F55" s="91"/>
    </row>
    <row r="56" spans="1:12" ht="14.4">
      <c r="A56" s="146" t="s">
        <v>210</v>
      </c>
      <c r="B56" s="149">
        <f>B55</f>
        <v>30000</v>
      </c>
      <c r="C56" s="260">
        <f>F7</f>
        <v>1.0083333333333333</v>
      </c>
      <c r="D56" s="261">
        <f>F9</f>
        <v>1</v>
      </c>
      <c r="E56" s="163">
        <f>B56*C56*D56</f>
        <v>30250</v>
      </c>
      <c r="F56" s="91"/>
    </row>
    <row r="57" spans="1:12" ht="14.4">
      <c r="A57" s="146" t="s">
        <v>111</v>
      </c>
      <c r="B57" s="149"/>
      <c r="C57" s="262"/>
      <c r="D57" s="263"/>
      <c r="E57" s="163"/>
      <c r="F57" s="91"/>
    </row>
    <row r="58" spans="1:12" ht="14.4">
      <c r="A58" s="146" t="s">
        <v>235</v>
      </c>
      <c r="B58" s="149">
        <f>F18</f>
        <v>30000</v>
      </c>
      <c r="C58" s="262">
        <f>F18/F4</f>
        <v>1</v>
      </c>
      <c r="D58" s="263">
        <f>F19</f>
        <v>0.5</v>
      </c>
      <c r="E58" s="163">
        <f>B58*C58*D58</f>
        <v>15000</v>
      </c>
      <c r="F58" s="91"/>
    </row>
    <row r="59" spans="1:12" ht="14.4">
      <c r="A59" s="146" t="s">
        <v>82</v>
      </c>
      <c r="B59" s="230">
        <f>F12</f>
        <v>850000</v>
      </c>
      <c r="C59" s="262"/>
      <c r="D59" s="151"/>
      <c r="E59" s="163">
        <f>B59</f>
        <v>850000</v>
      </c>
      <c r="F59" s="91"/>
    </row>
    <row r="60" spans="1:12" ht="14.4">
      <c r="A60" s="189" t="s">
        <v>236</v>
      </c>
      <c r="B60" s="150"/>
      <c r="C60" s="262"/>
      <c r="D60" s="151"/>
      <c r="E60" s="163"/>
      <c r="F60" s="91"/>
    </row>
    <row r="61" spans="1:12" ht="15" thickBot="1">
      <c r="A61" s="168" t="s">
        <v>125</v>
      </c>
      <c r="B61" s="169"/>
      <c r="C61" s="170"/>
      <c r="D61" s="171"/>
      <c r="E61" s="172">
        <f>+E55-E56-E57-E58-E59-E60</f>
        <v>454750</v>
      </c>
      <c r="F61" s="91"/>
    </row>
    <row r="62" spans="1:12" ht="14.4">
      <c r="A62" s="371"/>
      <c r="B62" s="437"/>
      <c r="C62" s="437"/>
      <c r="D62" s="437"/>
      <c r="E62" s="437"/>
      <c r="F62" s="437"/>
      <c r="G62" s="437"/>
    </row>
    <row r="63" spans="1:12" ht="21.6" thickBot="1">
      <c r="A63" s="431" t="s">
        <v>187</v>
      </c>
      <c r="B63" s="431"/>
      <c r="C63" s="431"/>
      <c r="D63" s="431"/>
      <c r="E63" s="431"/>
    </row>
    <row r="64" spans="1:12">
      <c r="A64" s="393" t="s">
        <v>234</v>
      </c>
      <c r="B64" s="394"/>
      <c r="C64" s="394"/>
      <c r="D64" s="394"/>
      <c r="E64" s="395"/>
      <c r="F64" s="2"/>
    </row>
    <row r="65" spans="1:11">
      <c r="A65" s="396"/>
      <c r="B65" s="433"/>
      <c r="C65" s="433"/>
      <c r="D65" s="433"/>
      <c r="E65" s="398"/>
    </row>
    <row r="66" spans="1:11" ht="15.6">
      <c r="A66" s="399" t="s">
        <v>232</v>
      </c>
      <c r="B66" s="400"/>
      <c r="C66" s="210" t="s">
        <v>224</v>
      </c>
      <c r="D66" s="213">
        <f>(E41-E31)</f>
        <v>242000</v>
      </c>
      <c r="E66" s="211" t="str">
        <f>IF(D66&gt;0,"F","U")</f>
        <v>F</v>
      </c>
    </row>
    <row r="67" spans="1:11">
      <c r="A67" s="401"/>
      <c r="B67" s="432"/>
      <c r="C67" s="132" t="s">
        <v>7</v>
      </c>
      <c r="D67" s="129">
        <f>C10-D10</f>
        <v>-5499.9999999999964</v>
      </c>
      <c r="E67" s="135" t="str">
        <f>IF(D67&gt;0,"F","U")</f>
        <v>U</v>
      </c>
      <c r="F67" s="375" t="s">
        <v>231</v>
      </c>
      <c r="G67" s="375"/>
      <c r="H67" s="375"/>
      <c r="I67" s="375"/>
    </row>
    <row r="68" spans="1:11">
      <c r="A68" s="401"/>
      <c r="B68" s="432"/>
      <c r="C68" s="56" t="s">
        <v>111</v>
      </c>
      <c r="D68" s="2">
        <f>C17-D17</f>
        <v>0</v>
      </c>
      <c r="E68" s="136" t="str">
        <f>IF(D68&gt;0,"F","U")</f>
        <v>U</v>
      </c>
      <c r="F68" s="375"/>
      <c r="G68" s="375"/>
      <c r="H68" s="375"/>
      <c r="I68" s="375"/>
    </row>
    <row r="69" spans="1:11">
      <c r="A69" s="401"/>
      <c r="B69" s="432"/>
      <c r="C69" s="133" t="s">
        <v>235</v>
      </c>
      <c r="D69" s="2">
        <f>C20-D20</f>
        <v>-2500</v>
      </c>
      <c r="E69" s="136" t="str">
        <f>IF(D69&gt;0,"F","U")</f>
        <v>U</v>
      </c>
      <c r="F69" s="375"/>
      <c r="G69" s="375"/>
      <c r="H69" s="375"/>
      <c r="I69" s="375"/>
    </row>
    <row r="70" spans="1:11" ht="17.399999999999999">
      <c r="A70" s="228"/>
      <c r="B70" s="405" t="s">
        <v>225</v>
      </c>
      <c r="C70" s="405"/>
      <c r="D70" s="265">
        <f>D67+D68+D69</f>
        <v>-7999.9999999999964</v>
      </c>
      <c r="E70" s="137" t="str">
        <f t="shared" ref="E70:E74" si="10">IF(D70&gt;0,"F","U")</f>
        <v>U</v>
      </c>
      <c r="F70" s="192"/>
      <c r="G70" s="192"/>
      <c r="H70" s="192"/>
      <c r="I70" s="192"/>
    </row>
    <row r="71" spans="1:11" ht="14.4">
      <c r="A71" s="74"/>
      <c r="B71" s="378" t="s">
        <v>178</v>
      </c>
      <c r="C71" s="379"/>
      <c r="D71" s="132">
        <f>(D36-D26)*B46*C46</f>
        <v>0</v>
      </c>
      <c r="E71" s="136" t="str">
        <f>IF(C71&gt;0,"F","U")</f>
        <v>U</v>
      </c>
      <c r="F71" s="377" t="s">
        <v>179</v>
      </c>
      <c r="G71" s="377"/>
      <c r="H71" s="377"/>
      <c r="I71" s="377"/>
      <c r="J71" s="190"/>
      <c r="K71" s="190"/>
    </row>
    <row r="72" spans="1:11" ht="14.4">
      <c r="A72" s="74"/>
      <c r="B72" s="380" t="s">
        <v>180</v>
      </c>
      <c r="C72" s="381"/>
      <c r="D72" s="266">
        <f>(B55-B25)*D25</f>
        <v>250000</v>
      </c>
      <c r="E72" s="136" t="str">
        <f>IF(C72&gt;0,"F","U")</f>
        <v>U</v>
      </c>
      <c r="F72" s="377" t="s">
        <v>181</v>
      </c>
      <c r="G72" s="377"/>
      <c r="H72" s="377"/>
      <c r="I72" s="377"/>
      <c r="J72" s="191"/>
      <c r="K72" s="190"/>
    </row>
    <row r="73" spans="1:11" ht="14.4">
      <c r="A73" s="74"/>
      <c r="C73" s="131" t="s">
        <v>182</v>
      </c>
      <c r="D73" s="267">
        <f>(E61-E31)*J46*D25</f>
        <v>0</v>
      </c>
      <c r="E73" s="136" t="str">
        <f t="shared" si="10"/>
        <v>U</v>
      </c>
      <c r="F73" s="377" t="s">
        <v>183</v>
      </c>
      <c r="G73" s="377"/>
      <c r="H73" s="377"/>
      <c r="I73" s="377"/>
      <c r="J73" s="240"/>
    </row>
    <row r="74" spans="1:11" ht="14.4">
      <c r="A74" s="193"/>
      <c r="B74" s="89"/>
      <c r="C74" s="128" t="s">
        <v>184</v>
      </c>
      <c r="D74" s="194">
        <f>D72-D73</f>
        <v>250000</v>
      </c>
      <c r="E74" s="137" t="str">
        <f t="shared" si="10"/>
        <v>F</v>
      </c>
      <c r="F74" s="376"/>
      <c r="G74" s="376"/>
      <c r="H74" s="376"/>
      <c r="I74" s="376"/>
      <c r="J74" s="376"/>
    </row>
    <row r="75" spans="1:11" ht="15.6">
      <c r="A75" s="399" t="s">
        <v>227</v>
      </c>
      <c r="B75" s="400"/>
      <c r="C75" s="210" t="s">
        <v>175</v>
      </c>
      <c r="D75" s="213">
        <f>(D55-D25)*B55</f>
        <v>-150000</v>
      </c>
      <c r="E75" s="211" t="str">
        <f>IF(D75&gt;0,"F","U")</f>
        <v>U</v>
      </c>
      <c r="F75" s="377" t="s">
        <v>179</v>
      </c>
      <c r="G75" s="377"/>
      <c r="H75" s="377"/>
      <c r="I75" s="377"/>
    </row>
    <row r="76" spans="1:11" ht="15.6">
      <c r="A76" s="401"/>
      <c r="B76" s="432"/>
      <c r="C76" s="210" t="s">
        <v>250</v>
      </c>
      <c r="D76" s="212">
        <f>D78</f>
        <v>2750.0000000000032</v>
      </c>
      <c r="E76" s="211" t="str">
        <f>IF(D76&gt;0,"F","U")</f>
        <v>F</v>
      </c>
      <c r="F76" s="376"/>
      <c r="G76" s="376"/>
      <c r="H76" s="376"/>
      <c r="I76" s="376"/>
      <c r="J76" s="376"/>
    </row>
    <row r="77" spans="1:11" ht="15.6">
      <c r="A77" s="401"/>
      <c r="B77" s="432"/>
      <c r="C77" s="210" t="s">
        <v>251</v>
      </c>
      <c r="D77" s="213">
        <f>(E29-E59)+(E30-E60)</f>
        <v>-50000</v>
      </c>
      <c r="E77" s="211" t="str">
        <f>IF(D77&gt;0,"F","U")</f>
        <v>U</v>
      </c>
      <c r="G77" s="58"/>
      <c r="H77" s="58"/>
      <c r="I77" s="58"/>
      <c r="J77" s="58"/>
    </row>
    <row r="78" spans="1:11" ht="15.6">
      <c r="A78" s="208"/>
      <c r="B78" s="403" t="s">
        <v>250</v>
      </c>
      <c r="C78" s="404"/>
      <c r="D78" s="209">
        <f>+D82+D86</f>
        <v>2750.0000000000032</v>
      </c>
      <c r="E78" s="268" t="str">
        <f>IF(D78&gt;0,"F","U")</f>
        <v>F</v>
      </c>
      <c r="G78" s="58"/>
      <c r="H78" s="58"/>
      <c r="I78" s="58"/>
      <c r="J78" s="58"/>
    </row>
    <row r="79" spans="1:11">
      <c r="A79" s="388"/>
      <c r="B79" s="382" t="s">
        <v>227</v>
      </c>
      <c r="C79" s="141" t="s">
        <v>7</v>
      </c>
      <c r="D79" s="142">
        <f>(D26-D56)*C56*B56</f>
        <v>3025.0000000000023</v>
      </c>
      <c r="E79" s="143" t="str">
        <f>IF(D79&gt;0,"F","U")</f>
        <v>F</v>
      </c>
      <c r="F79" s="373" t="s">
        <v>258</v>
      </c>
      <c r="G79" s="374"/>
      <c r="H79" s="374"/>
      <c r="I79" s="374"/>
    </row>
    <row r="80" spans="1:11">
      <c r="A80" s="388"/>
      <c r="B80" s="383"/>
      <c r="C80" s="56" t="s">
        <v>111</v>
      </c>
      <c r="D80" s="2">
        <f>(D27-D57)*B57*C57</f>
        <v>0</v>
      </c>
      <c r="E80" s="136" t="str">
        <f t="shared" ref="E80:E82" si="11">IF(D80&gt;0,"F","U")</f>
        <v>U</v>
      </c>
      <c r="F80" s="374"/>
      <c r="G80" s="374"/>
      <c r="H80" s="374"/>
      <c r="I80" s="374"/>
    </row>
    <row r="81" spans="1:10">
      <c r="A81" s="388"/>
      <c r="B81" s="383"/>
      <c r="C81" s="133" t="s">
        <v>226</v>
      </c>
      <c r="D81" s="2">
        <f>(D28-D58)*B58*C58</f>
        <v>0</v>
      </c>
      <c r="E81" s="136" t="str">
        <f t="shared" si="11"/>
        <v>U</v>
      </c>
      <c r="F81" s="374"/>
      <c r="G81" s="374"/>
      <c r="H81" s="374"/>
      <c r="I81" s="374"/>
    </row>
    <row r="82" spans="1:10">
      <c r="A82" s="388"/>
      <c r="B82" s="384"/>
      <c r="C82" s="134" t="s">
        <v>229</v>
      </c>
      <c r="D82" s="265">
        <f>D79+D80+D81</f>
        <v>3025.0000000000023</v>
      </c>
      <c r="E82" s="137" t="str">
        <f t="shared" si="11"/>
        <v>F</v>
      </c>
      <c r="F82" s="192"/>
      <c r="G82" s="192"/>
      <c r="H82" s="192"/>
      <c r="I82" s="192"/>
    </row>
    <row r="83" spans="1:10">
      <c r="A83" s="388"/>
      <c r="B83" s="385" t="s">
        <v>228</v>
      </c>
      <c r="C83" s="132" t="s">
        <v>7</v>
      </c>
      <c r="D83" s="129">
        <f>(C36-C56)*D26*B56</f>
        <v>-274.99999999999909</v>
      </c>
      <c r="E83" s="136" t="str">
        <f>IF(D83&gt;0,"F","U")</f>
        <v>U</v>
      </c>
      <c r="F83" s="375" t="s">
        <v>259</v>
      </c>
      <c r="G83" s="374"/>
      <c r="H83" s="374"/>
      <c r="I83" s="374"/>
    </row>
    <row r="84" spans="1:10">
      <c r="A84" s="388"/>
      <c r="B84" s="386"/>
      <c r="C84" s="56" t="s">
        <v>111</v>
      </c>
      <c r="D84" s="2">
        <f>(C37*B37-C57*B57)*D27</f>
        <v>0</v>
      </c>
      <c r="E84" s="136" t="str">
        <f t="shared" ref="E84:E86" si="12">IF(D84&gt;0,"F","U")</f>
        <v>U</v>
      </c>
      <c r="F84" s="374"/>
      <c r="G84" s="374"/>
      <c r="H84" s="374"/>
      <c r="I84" s="374"/>
      <c r="J84" s="232"/>
    </row>
    <row r="85" spans="1:10">
      <c r="A85" s="388"/>
      <c r="B85" s="386"/>
      <c r="C85" s="133" t="s">
        <v>226</v>
      </c>
      <c r="D85" s="2">
        <f>(C38*B38-C58*B58)*D28</f>
        <v>0</v>
      </c>
      <c r="E85" s="136" t="str">
        <f t="shared" si="12"/>
        <v>U</v>
      </c>
      <c r="F85" s="374"/>
      <c r="G85" s="374"/>
      <c r="H85" s="374"/>
      <c r="I85" s="374"/>
      <c r="J85" s="232"/>
    </row>
    <row r="86" spans="1:10" ht="14.4" thickBot="1">
      <c r="A86" s="389"/>
      <c r="B86" s="387"/>
      <c r="C86" s="138" t="s">
        <v>230</v>
      </c>
      <c r="D86" s="139">
        <f>D83+D84+D85</f>
        <v>-274.99999999999909</v>
      </c>
      <c r="E86" s="140" t="str">
        <f t="shared" si="12"/>
        <v>U</v>
      </c>
    </row>
    <row r="87" spans="1:10">
      <c r="D87" s="2">
        <f>D66+D75+D76+D77</f>
        <v>44750</v>
      </c>
    </row>
    <row r="88" spans="1:10" ht="14.4">
      <c r="A88" s="92"/>
      <c r="B88" s="91"/>
      <c r="C88" s="91"/>
      <c r="D88" s="91"/>
      <c r="E88" s="91"/>
    </row>
    <row r="89" spans="1:10" ht="21">
      <c r="A89" s="390" t="s">
        <v>199</v>
      </c>
      <c r="B89" s="431"/>
      <c r="C89" s="431"/>
      <c r="D89" s="431"/>
      <c r="E89" s="431"/>
    </row>
    <row r="90" spans="1:10" ht="14.4">
      <c r="A90" s="173" t="s">
        <v>200</v>
      </c>
      <c r="B90" s="269">
        <f>C21</f>
        <v>410000</v>
      </c>
      <c r="C90" s="156"/>
      <c r="D90" s="91"/>
      <c r="E90" s="91"/>
      <c r="G90" s="88"/>
    </row>
    <row r="91" spans="1:10" ht="18">
      <c r="A91" s="146" t="s">
        <v>201</v>
      </c>
      <c r="B91" s="270">
        <f>E41-E31</f>
        <v>242000</v>
      </c>
      <c r="C91" s="151" t="str">
        <f>IF(B91&gt;0,"F","U")</f>
        <v>F</v>
      </c>
      <c r="D91" s="430" t="s">
        <v>216</v>
      </c>
      <c r="E91" s="430"/>
      <c r="F91" s="185"/>
      <c r="G91" s="185"/>
    </row>
    <row r="92" spans="1:10" ht="18">
      <c r="A92" s="173" t="s">
        <v>202</v>
      </c>
      <c r="B92" s="271">
        <f>B90+B91</f>
        <v>652000</v>
      </c>
      <c r="C92" s="156"/>
      <c r="D92" s="185"/>
      <c r="E92" s="185"/>
      <c r="F92" s="185"/>
      <c r="G92" s="185"/>
    </row>
    <row r="93" spans="1:10" ht="18">
      <c r="A93" s="146" t="s">
        <v>222</v>
      </c>
      <c r="B93" s="270">
        <f>(D55-D25)*B55</f>
        <v>-150000</v>
      </c>
      <c r="C93" s="151" t="str">
        <f>IF(B93&gt;0,"F","U")</f>
        <v>U</v>
      </c>
      <c r="D93" s="430" t="s">
        <v>198</v>
      </c>
      <c r="E93" s="430"/>
      <c r="F93" s="185"/>
      <c r="G93" s="185"/>
    </row>
    <row r="94" spans="1:10" ht="14.4">
      <c r="A94" s="146" t="s">
        <v>217</v>
      </c>
      <c r="B94" s="270">
        <f>D79+D83</f>
        <v>2750.0000000000032</v>
      </c>
      <c r="C94" s="151" t="str">
        <f>IF(B94&gt;0,"F","U")</f>
        <v>F</v>
      </c>
      <c r="D94" s="91"/>
      <c r="E94" s="91"/>
    </row>
    <row r="95" spans="1:10" ht="14.4">
      <c r="A95" s="146" t="s">
        <v>233</v>
      </c>
      <c r="B95" s="270">
        <f>(D80+D84)+(D85+D81)</f>
        <v>0</v>
      </c>
      <c r="C95" s="151" t="str">
        <f t="shared" ref="C95" si="13">IF(B95&gt;0,"F","U")</f>
        <v>U</v>
      </c>
      <c r="D95" s="91"/>
    </row>
    <row r="96" spans="1:10" ht="14.4">
      <c r="A96" s="146" t="s">
        <v>218</v>
      </c>
      <c r="B96" s="270">
        <f>(E29-E59)+(E30-E60)</f>
        <v>-50000</v>
      </c>
      <c r="C96" s="151" t="str">
        <f>IF(B96&gt;0,"F","U")</f>
        <v>U</v>
      </c>
      <c r="D96" s="91"/>
    </row>
    <row r="97" spans="1:6" ht="15" thickBot="1">
      <c r="A97" s="174" t="s">
        <v>203</v>
      </c>
      <c r="B97" s="271">
        <f>B92+SUM(B93:B96)</f>
        <v>454750</v>
      </c>
      <c r="C97" s="151"/>
      <c r="D97" s="91"/>
      <c r="F97" s="232"/>
    </row>
    <row r="98" spans="1:6" ht="18.600000000000001" thickBot="1">
      <c r="A98" s="188" t="s">
        <v>223</v>
      </c>
      <c r="B98" s="186">
        <f>B97-B90</f>
        <v>44750</v>
      </c>
      <c r="C98" s="272" t="str">
        <f>IF(B98&gt;0,"F","U")</f>
        <v>F</v>
      </c>
      <c r="D98" s="273"/>
      <c r="E98" s="91"/>
      <c r="F98" s="232"/>
    </row>
  </sheetData>
  <mergeCells count="33">
    <mergeCell ref="A64:E65"/>
    <mergeCell ref="A1:J1"/>
    <mergeCell ref="A4:A6"/>
    <mergeCell ref="A7:A10"/>
    <mergeCell ref="A11:A20"/>
    <mergeCell ref="A23:E23"/>
    <mergeCell ref="A33:E33"/>
    <mergeCell ref="A43:E43"/>
    <mergeCell ref="I44:K45"/>
    <mergeCell ref="A53:E53"/>
    <mergeCell ref="A62:G62"/>
    <mergeCell ref="A63:E63"/>
    <mergeCell ref="B78:C78"/>
    <mergeCell ref="A66:B69"/>
    <mergeCell ref="F67:I69"/>
    <mergeCell ref="B70:C70"/>
    <mergeCell ref="B71:C71"/>
    <mergeCell ref="F71:I71"/>
    <mergeCell ref="B72:C72"/>
    <mergeCell ref="F72:I72"/>
    <mergeCell ref="F73:I73"/>
    <mergeCell ref="F74:J74"/>
    <mergeCell ref="A75:B77"/>
    <mergeCell ref="F75:I75"/>
    <mergeCell ref="F76:J76"/>
    <mergeCell ref="D91:E91"/>
    <mergeCell ref="D93:E93"/>
    <mergeCell ref="A79:A86"/>
    <mergeCell ref="B79:B82"/>
    <mergeCell ref="F79:I81"/>
    <mergeCell ref="B83:B86"/>
    <mergeCell ref="F83:I85"/>
    <mergeCell ref="A89:E8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C34-8075-4153-90B0-7CD503FF9ABF}">
  <dimension ref="A2:J36"/>
  <sheetViews>
    <sheetView zoomScale="85" zoomScaleNormal="85" workbookViewId="0">
      <selection activeCell="D38" sqref="D38"/>
    </sheetView>
  </sheetViews>
  <sheetFormatPr baseColWidth="10" defaultRowHeight="13.8"/>
  <cols>
    <col min="3" max="3" width="12.19921875" bestFit="1" customWidth="1"/>
  </cols>
  <sheetData>
    <row r="2" spans="1:10">
      <c r="A2" s="1"/>
      <c r="B2" s="1"/>
      <c r="C2" s="1"/>
      <c r="D2" s="237" t="s">
        <v>253</v>
      </c>
      <c r="E2" s="237" t="s">
        <v>9</v>
      </c>
      <c r="F2" s="237" t="s">
        <v>254</v>
      </c>
      <c r="G2" s="237" t="s">
        <v>36</v>
      </c>
      <c r="I2" s="346" t="s">
        <v>170</v>
      </c>
      <c r="J2" s="347"/>
    </row>
    <row r="3" spans="1:10">
      <c r="A3" s="339" t="s">
        <v>7</v>
      </c>
      <c r="B3" s="327" t="s">
        <v>14</v>
      </c>
      <c r="C3" s="245" t="s">
        <v>23</v>
      </c>
      <c r="D3" s="242">
        <v>3000</v>
      </c>
      <c r="E3" s="242">
        <v>3200</v>
      </c>
      <c r="F3" s="242">
        <v>3500</v>
      </c>
      <c r="G3" s="242">
        <v>3500</v>
      </c>
      <c r="I3" s="1"/>
      <c r="J3" s="1"/>
    </row>
    <row r="4" spans="1:10">
      <c r="A4" s="339"/>
      <c r="B4" s="327"/>
      <c r="C4" s="245" t="s">
        <v>16</v>
      </c>
      <c r="D4" s="242">
        <v>11</v>
      </c>
      <c r="E4" s="242">
        <v>13</v>
      </c>
      <c r="F4" s="242">
        <v>14</v>
      </c>
      <c r="G4" s="242">
        <v>14</v>
      </c>
      <c r="I4" s="1"/>
      <c r="J4" s="1"/>
    </row>
    <row r="5" spans="1:10">
      <c r="A5" s="339"/>
      <c r="B5" s="327"/>
      <c r="C5" s="253" t="s">
        <v>11</v>
      </c>
      <c r="D5" s="254">
        <f>D4*D3</f>
        <v>33000</v>
      </c>
      <c r="E5" s="254">
        <f t="shared" ref="E5:G5" si="0">E4*E3</f>
        <v>41600</v>
      </c>
      <c r="F5" s="254">
        <f t="shared" si="0"/>
        <v>49000</v>
      </c>
      <c r="G5" s="254">
        <f t="shared" si="0"/>
        <v>49000</v>
      </c>
      <c r="I5" s="1"/>
      <c r="J5" s="1"/>
    </row>
    <row r="6" spans="1:10">
      <c r="A6" s="339"/>
      <c r="B6" s="327" t="s">
        <v>6</v>
      </c>
      <c r="C6" s="245" t="s">
        <v>244</v>
      </c>
      <c r="D6" s="242">
        <v>10</v>
      </c>
      <c r="E6" s="242">
        <f>D7</f>
        <v>10</v>
      </c>
      <c r="F6" s="242">
        <f t="shared" ref="F6:G6" si="1">E7</f>
        <v>10</v>
      </c>
      <c r="G6" s="242">
        <f t="shared" si="1"/>
        <v>30</v>
      </c>
      <c r="I6" s="1"/>
      <c r="J6" s="1"/>
    </row>
    <row r="7" spans="1:10">
      <c r="A7" s="339"/>
      <c r="B7" s="327"/>
      <c r="C7" s="245" t="s">
        <v>243</v>
      </c>
      <c r="D7" s="242">
        <f>D3+D6-D10*D9</f>
        <v>10</v>
      </c>
      <c r="E7" s="242">
        <f t="shared" ref="E7:G7" si="2">E3+E6-E10*E9</f>
        <v>10</v>
      </c>
      <c r="F7" s="242">
        <f t="shared" si="2"/>
        <v>30</v>
      </c>
      <c r="G7" s="242">
        <f t="shared" si="2"/>
        <v>10</v>
      </c>
      <c r="I7" s="1"/>
      <c r="J7" s="1"/>
    </row>
    <row r="8" spans="1:10">
      <c r="A8" s="339"/>
      <c r="B8" s="327" t="s">
        <v>24</v>
      </c>
      <c r="C8" s="245" t="s">
        <v>69</v>
      </c>
      <c r="D8" s="242">
        <f>D10*D9</f>
        <v>3000</v>
      </c>
      <c r="E8" s="242">
        <f t="shared" ref="E8:G8" si="3">E10*E9</f>
        <v>3200</v>
      </c>
      <c r="F8" s="242">
        <f t="shared" si="3"/>
        <v>3480</v>
      </c>
      <c r="G8" s="242">
        <f t="shared" si="3"/>
        <v>3520</v>
      </c>
      <c r="I8" s="1"/>
      <c r="J8" s="1"/>
    </row>
    <row r="9" spans="1:10">
      <c r="A9" s="339"/>
      <c r="B9" s="327"/>
      <c r="C9" s="245" t="s">
        <v>12</v>
      </c>
      <c r="D9" s="246">
        <f>$I$9</f>
        <v>40</v>
      </c>
      <c r="E9" s="246">
        <f t="shared" ref="E9:G9" si="4">$I$9</f>
        <v>40</v>
      </c>
      <c r="F9" s="246">
        <f t="shared" si="4"/>
        <v>40</v>
      </c>
      <c r="G9" s="246">
        <f t="shared" si="4"/>
        <v>40</v>
      </c>
      <c r="I9" s="42">
        <v>40</v>
      </c>
      <c r="J9" s="1" t="s">
        <v>12</v>
      </c>
    </row>
    <row r="10" spans="1:10">
      <c r="A10" s="339" t="s">
        <v>240</v>
      </c>
      <c r="B10" s="327" t="s">
        <v>24</v>
      </c>
      <c r="C10" s="245" t="s">
        <v>19</v>
      </c>
      <c r="D10" s="242">
        <f>INT((D3+D6)/D9)</f>
        <v>75</v>
      </c>
      <c r="E10" s="242">
        <f>INT((E3+E6)/E9)</f>
        <v>80</v>
      </c>
      <c r="F10" s="242">
        <f t="shared" ref="F10:G10" si="5">INT((F3+F6)/F9)</f>
        <v>87</v>
      </c>
      <c r="G10" s="242">
        <f t="shared" si="5"/>
        <v>88</v>
      </c>
      <c r="I10" s="1"/>
      <c r="J10" s="1"/>
    </row>
    <row r="11" spans="1:10">
      <c r="A11" s="339"/>
      <c r="B11" s="327"/>
      <c r="C11" s="245" t="s">
        <v>245</v>
      </c>
      <c r="D11" s="242">
        <v>8</v>
      </c>
      <c r="E11" s="242">
        <v>5</v>
      </c>
      <c r="F11" s="242">
        <v>5</v>
      </c>
      <c r="G11" s="242">
        <v>5</v>
      </c>
      <c r="I11" s="1"/>
      <c r="J11" s="1"/>
    </row>
    <row r="12" spans="1:10">
      <c r="A12" s="339"/>
      <c r="B12" s="327"/>
      <c r="C12" s="245" t="s">
        <v>242</v>
      </c>
      <c r="D12" s="242">
        <f>$I$12</f>
        <v>5</v>
      </c>
      <c r="E12" s="242">
        <f t="shared" ref="E12:G12" si="6">$I$12</f>
        <v>5</v>
      </c>
      <c r="F12" s="242">
        <f t="shared" si="6"/>
        <v>5</v>
      </c>
      <c r="G12" s="242">
        <f t="shared" si="6"/>
        <v>5</v>
      </c>
      <c r="I12" s="42">
        <v>5</v>
      </c>
      <c r="J12" s="1" t="s">
        <v>246</v>
      </c>
    </row>
    <row r="13" spans="1:10">
      <c r="A13" s="339"/>
      <c r="B13" s="327" t="s">
        <v>0</v>
      </c>
      <c r="C13" s="245" t="s">
        <v>15</v>
      </c>
      <c r="D13" s="242">
        <f>D10+D11-D12</f>
        <v>78</v>
      </c>
      <c r="E13" s="242">
        <f t="shared" ref="E13:G13" si="7">E10+E11-E12</f>
        <v>80</v>
      </c>
      <c r="F13" s="242">
        <f t="shared" si="7"/>
        <v>87</v>
      </c>
      <c r="G13" s="242">
        <f t="shared" si="7"/>
        <v>88</v>
      </c>
      <c r="I13" s="1"/>
      <c r="J13" s="1"/>
    </row>
    <row r="14" spans="1:10">
      <c r="A14" s="339"/>
      <c r="B14" s="327"/>
      <c r="C14" s="245" t="s">
        <v>16</v>
      </c>
      <c r="D14" s="247">
        <f>$I$14</f>
        <v>1000</v>
      </c>
      <c r="E14" s="247">
        <f t="shared" ref="E14:G14" si="8">$I$14</f>
        <v>1000</v>
      </c>
      <c r="F14" s="247">
        <f t="shared" si="8"/>
        <v>1000</v>
      </c>
      <c r="G14" s="247">
        <f t="shared" si="8"/>
        <v>1000</v>
      </c>
      <c r="I14" s="42">
        <f>1000</f>
        <v>1000</v>
      </c>
      <c r="J14" s="1" t="s">
        <v>247</v>
      </c>
    </row>
    <row r="15" spans="1:10">
      <c r="A15" s="339"/>
      <c r="B15" s="327"/>
      <c r="C15" s="52" t="s">
        <v>0</v>
      </c>
      <c r="D15" s="248">
        <f>D14*D13</f>
        <v>78000</v>
      </c>
      <c r="E15" s="248">
        <f t="shared" ref="E15:G15" si="9">E14*E13</f>
        <v>80000</v>
      </c>
      <c r="F15" s="248">
        <f t="shared" si="9"/>
        <v>87000</v>
      </c>
      <c r="G15" s="248">
        <f t="shared" si="9"/>
        <v>88000</v>
      </c>
      <c r="I15" s="53">
        <v>2</v>
      </c>
      <c r="J15" s="3" t="s">
        <v>68</v>
      </c>
    </row>
    <row r="16" spans="1:10">
      <c r="A16" s="342" t="s">
        <v>241</v>
      </c>
      <c r="B16" s="333" t="s">
        <v>6</v>
      </c>
      <c r="C16" s="245" t="s">
        <v>20</v>
      </c>
      <c r="D16" s="242">
        <f>$I$16</f>
        <v>6</v>
      </c>
      <c r="E16" s="242">
        <f t="shared" ref="E16:G16" si="10">$I$16</f>
        <v>6</v>
      </c>
      <c r="F16" s="242">
        <f t="shared" si="10"/>
        <v>6</v>
      </c>
      <c r="G16" s="242">
        <f t="shared" si="10"/>
        <v>6</v>
      </c>
      <c r="I16" s="42">
        <v>6</v>
      </c>
      <c r="J16" s="1" t="s">
        <v>12</v>
      </c>
    </row>
    <row r="17" spans="1:10">
      <c r="A17" s="343"/>
      <c r="B17" s="334"/>
      <c r="C17" s="245" t="s">
        <v>15</v>
      </c>
      <c r="D17" s="242">
        <f>D16*D10</f>
        <v>450</v>
      </c>
      <c r="E17" s="242">
        <f t="shared" ref="E17:G17" si="11">E16*E10</f>
        <v>480</v>
      </c>
      <c r="F17" s="242">
        <f t="shared" si="11"/>
        <v>522</v>
      </c>
      <c r="G17" s="242">
        <f t="shared" si="11"/>
        <v>528</v>
      </c>
      <c r="I17" s="1"/>
      <c r="J17" s="1"/>
    </row>
    <row r="18" spans="1:10">
      <c r="A18" s="343"/>
      <c r="B18" s="334"/>
      <c r="C18" s="245" t="s">
        <v>17</v>
      </c>
      <c r="D18" s="242">
        <v>9</v>
      </c>
      <c r="E18" s="242">
        <f>ROUNDUP($I$19*E17,0)</f>
        <v>58</v>
      </c>
      <c r="F18" s="242">
        <f t="shared" ref="F18:G18" si="12">ROUNDUP($I$19*F17,0)</f>
        <v>63</v>
      </c>
      <c r="G18" s="242">
        <f t="shared" si="12"/>
        <v>64</v>
      </c>
      <c r="I18" s="1"/>
      <c r="J18" s="1"/>
    </row>
    <row r="19" spans="1:10">
      <c r="A19" s="343"/>
      <c r="B19" s="335"/>
      <c r="C19" s="245" t="s">
        <v>18</v>
      </c>
      <c r="D19" s="242">
        <f>E18</f>
        <v>58</v>
      </c>
      <c r="E19" s="242">
        <f t="shared" ref="E19:F19" si="13">F18</f>
        <v>63</v>
      </c>
      <c r="F19" s="242">
        <f t="shared" si="13"/>
        <v>64</v>
      </c>
      <c r="G19" s="242"/>
      <c r="I19" s="54">
        <v>0.12</v>
      </c>
      <c r="J19" s="3" t="s">
        <v>248</v>
      </c>
    </row>
    <row r="20" spans="1:10">
      <c r="A20" s="343"/>
      <c r="B20" s="333" t="s">
        <v>14</v>
      </c>
      <c r="C20" s="245" t="s">
        <v>28</v>
      </c>
      <c r="D20" s="242">
        <f>D17+D19-D18</f>
        <v>499</v>
      </c>
      <c r="E20" s="242">
        <f t="shared" ref="E20:F20" si="14">E17+E19-E18</f>
        <v>485</v>
      </c>
      <c r="F20" s="242">
        <f t="shared" si="14"/>
        <v>523</v>
      </c>
      <c r="G20" s="242"/>
      <c r="I20" s="1"/>
      <c r="J20" s="1"/>
    </row>
    <row r="21" spans="1:10">
      <c r="A21" s="343"/>
      <c r="B21" s="334"/>
      <c r="C21" s="245" t="s">
        <v>16</v>
      </c>
      <c r="D21" s="247">
        <f>$I$21</f>
        <v>8</v>
      </c>
      <c r="E21" s="247">
        <f t="shared" ref="E21:G21" si="15">$I$21</f>
        <v>8</v>
      </c>
      <c r="F21" s="247">
        <f t="shared" si="15"/>
        <v>8</v>
      </c>
      <c r="G21" s="247">
        <f t="shared" si="15"/>
        <v>8</v>
      </c>
      <c r="I21" s="42">
        <v>8</v>
      </c>
      <c r="J21" s="1" t="s">
        <v>249</v>
      </c>
    </row>
    <row r="22" spans="1:10">
      <c r="A22" s="344"/>
      <c r="B22" s="335"/>
      <c r="C22" s="253" t="s">
        <v>11</v>
      </c>
      <c r="D22" s="255">
        <f>D21*D20</f>
        <v>3992</v>
      </c>
      <c r="E22" s="255">
        <f t="shared" ref="E22:F22" si="16">E21*E20</f>
        <v>3880</v>
      </c>
      <c r="F22" s="255">
        <f t="shared" si="16"/>
        <v>4184</v>
      </c>
      <c r="G22" s="255"/>
      <c r="I22" s="1"/>
      <c r="J22" s="1"/>
    </row>
    <row r="23" spans="1:10">
      <c r="C23" s="249"/>
      <c r="D23" s="250"/>
      <c r="E23" s="250"/>
      <c r="F23" s="250"/>
      <c r="G23" s="250"/>
      <c r="I23" s="1"/>
      <c r="J23" s="1"/>
    </row>
    <row r="24" spans="1:10">
      <c r="A24" s="339" t="s">
        <v>8</v>
      </c>
      <c r="B24" s="339"/>
      <c r="C24" s="245" t="s">
        <v>256</v>
      </c>
      <c r="D24" s="252">
        <v>80</v>
      </c>
      <c r="E24" s="252">
        <v>80</v>
      </c>
      <c r="F24" s="252">
        <v>80</v>
      </c>
      <c r="G24" s="252">
        <v>80</v>
      </c>
      <c r="I24" s="1"/>
      <c r="J24" s="1"/>
    </row>
    <row r="25" spans="1:10">
      <c r="A25" s="339"/>
      <c r="B25" s="339"/>
      <c r="C25" s="245" t="s">
        <v>255</v>
      </c>
      <c r="D25" s="252">
        <v>3</v>
      </c>
      <c r="E25" s="252">
        <v>3</v>
      </c>
      <c r="F25" s="252">
        <v>3</v>
      </c>
      <c r="G25" s="252">
        <v>3</v>
      </c>
      <c r="I25" s="1"/>
      <c r="J25" s="1"/>
    </row>
    <row r="26" spans="1:10">
      <c r="A26" s="339"/>
      <c r="B26" s="339"/>
      <c r="C26" s="245" t="s">
        <v>257</v>
      </c>
      <c r="D26" s="251">
        <f>D25*D10</f>
        <v>225</v>
      </c>
      <c r="E26" s="251">
        <f t="shared" ref="E26:G26" si="17">E25*E10</f>
        <v>240</v>
      </c>
      <c r="F26" s="251">
        <f t="shared" si="17"/>
        <v>261</v>
      </c>
      <c r="G26" s="251">
        <f t="shared" si="17"/>
        <v>264</v>
      </c>
      <c r="I26" s="1"/>
      <c r="J26" s="1"/>
    </row>
    <row r="27" spans="1:10">
      <c r="A27" s="339"/>
      <c r="B27" s="339"/>
      <c r="C27" s="245" t="s">
        <v>21</v>
      </c>
      <c r="D27" s="251">
        <v>0</v>
      </c>
      <c r="E27" s="251">
        <f>D26*D24</f>
        <v>18000</v>
      </c>
      <c r="F27" s="251">
        <f t="shared" ref="F27:G27" si="18">E26*E24</f>
        <v>19200</v>
      </c>
      <c r="G27" s="251">
        <f t="shared" si="18"/>
        <v>20880</v>
      </c>
      <c r="I27" s="53">
        <v>1</v>
      </c>
      <c r="J27" s="3" t="s">
        <v>67</v>
      </c>
    </row>
    <row r="28" spans="1:10">
      <c r="D28" s="35"/>
      <c r="E28" s="35"/>
      <c r="F28" s="35"/>
      <c r="G28" s="35"/>
      <c r="H28" s="2"/>
      <c r="I28" s="1"/>
      <c r="J28" s="1"/>
    </row>
    <row r="29" spans="1:10">
      <c r="A29" s="340" t="s">
        <v>31</v>
      </c>
      <c r="B29" s="340"/>
      <c r="C29" s="225" t="s">
        <v>29</v>
      </c>
      <c r="D29" s="243">
        <f>D30+D31</f>
        <v>31200</v>
      </c>
      <c r="E29" s="243">
        <f t="shared" ref="E29:G29" si="19">E30+E31</f>
        <v>32000</v>
      </c>
      <c r="F29" s="243">
        <f t="shared" si="19"/>
        <v>81600</v>
      </c>
      <c r="G29" s="243">
        <f t="shared" si="19"/>
        <v>83200</v>
      </c>
      <c r="I29" s="1"/>
      <c r="J29" s="1"/>
    </row>
    <row r="30" spans="1:10">
      <c r="A30" s="340"/>
      <c r="B30" s="340"/>
      <c r="C30" s="234" t="s">
        <v>5</v>
      </c>
      <c r="D30" s="39">
        <f>0.4*D15</f>
        <v>31200</v>
      </c>
      <c r="E30" s="39">
        <f t="shared" ref="E30:G30" si="20">0.4*E15</f>
        <v>32000</v>
      </c>
      <c r="F30" s="39">
        <f t="shared" si="20"/>
        <v>34800</v>
      </c>
      <c r="G30" s="39">
        <f t="shared" si="20"/>
        <v>35200</v>
      </c>
      <c r="I30" s="54">
        <v>0.25</v>
      </c>
      <c r="J30" s="3" t="s">
        <v>66</v>
      </c>
    </row>
    <row r="31" spans="1:10">
      <c r="A31" s="340"/>
      <c r="B31" s="340"/>
      <c r="C31" s="234" t="s">
        <v>22</v>
      </c>
      <c r="D31" s="236"/>
      <c r="E31" s="236"/>
      <c r="F31" s="39">
        <f>0.6*D14*D13</f>
        <v>46800</v>
      </c>
      <c r="G31" s="39">
        <f>0.6*E14*E13</f>
        <v>48000</v>
      </c>
      <c r="I31" s="54">
        <f>1-I30</f>
        <v>0.75</v>
      </c>
      <c r="J31" s="3"/>
    </row>
    <row r="32" spans="1:10">
      <c r="A32" s="340"/>
      <c r="B32" s="340"/>
      <c r="C32" s="224" t="s">
        <v>30</v>
      </c>
      <c r="D32" s="243">
        <f>D33+D34+D35</f>
        <v>36992</v>
      </c>
      <c r="E32" s="243">
        <f t="shared" ref="E32:F32" si="21">E33+E34+E35</f>
        <v>63480</v>
      </c>
      <c r="F32" s="243">
        <f t="shared" si="21"/>
        <v>72384</v>
      </c>
      <c r="G32" s="243"/>
      <c r="I32" s="1"/>
      <c r="J32" s="1"/>
    </row>
    <row r="33" spans="1:10">
      <c r="A33" s="340"/>
      <c r="B33" s="340"/>
      <c r="C33" s="234" t="str">
        <f>TEXT(A3,"")</f>
        <v>RM</v>
      </c>
      <c r="D33" s="239">
        <f>D5</f>
        <v>33000</v>
      </c>
      <c r="E33" s="239">
        <f>E5</f>
        <v>41600</v>
      </c>
      <c r="F33" s="239">
        <f>F5</f>
        <v>49000</v>
      </c>
      <c r="G33" s="239"/>
      <c r="I33" s="1"/>
      <c r="J33" s="1"/>
    </row>
    <row r="34" spans="1:10">
      <c r="A34" s="340"/>
      <c r="B34" s="340"/>
      <c r="C34" s="234" t="str">
        <f>TEXT(A16,"")</f>
        <v>RM 2</v>
      </c>
      <c r="D34" s="239">
        <f>D22</f>
        <v>3992</v>
      </c>
      <c r="E34" s="239">
        <f t="shared" ref="E34:F34" si="22">E22</f>
        <v>3880</v>
      </c>
      <c r="F34" s="239">
        <f t="shared" si="22"/>
        <v>4184</v>
      </c>
      <c r="G34" s="239"/>
      <c r="I34" s="1"/>
      <c r="J34" s="1"/>
    </row>
    <row r="35" spans="1:10">
      <c r="A35" s="340"/>
      <c r="B35" s="340"/>
      <c r="C35" s="15" t="str">
        <f>TEXT(A24,"")</f>
        <v>Labour</v>
      </c>
      <c r="D35" s="239">
        <f>D27</f>
        <v>0</v>
      </c>
      <c r="E35" s="239">
        <f t="shared" ref="E35:F35" si="23">E27</f>
        <v>18000</v>
      </c>
      <c r="F35" s="239">
        <f t="shared" si="23"/>
        <v>19200</v>
      </c>
      <c r="G35" s="239"/>
      <c r="I35" s="1"/>
      <c r="J35" s="1"/>
    </row>
    <row r="36" spans="1:10">
      <c r="A36" s="340"/>
      <c r="B36" s="340"/>
      <c r="C36" s="226" t="s">
        <v>31</v>
      </c>
      <c r="D36" s="244">
        <f>D29-D32</f>
        <v>-5792</v>
      </c>
      <c r="E36" s="244">
        <f t="shared" ref="E36:F36" si="24">E29-E32</f>
        <v>-31480</v>
      </c>
      <c r="F36" s="244">
        <f t="shared" si="24"/>
        <v>9216</v>
      </c>
      <c r="G36" s="244"/>
      <c r="I36" s="1"/>
      <c r="J36" s="1"/>
    </row>
  </sheetData>
  <mergeCells count="13">
    <mergeCell ref="I2:J2"/>
    <mergeCell ref="A3:A9"/>
    <mergeCell ref="B3:B5"/>
    <mergeCell ref="B6:B7"/>
    <mergeCell ref="B8:B9"/>
    <mergeCell ref="A24:B27"/>
    <mergeCell ref="A29:B36"/>
    <mergeCell ref="A10:A15"/>
    <mergeCell ref="B10:B12"/>
    <mergeCell ref="B13:B15"/>
    <mergeCell ref="A16:A22"/>
    <mergeCell ref="B16:B19"/>
    <mergeCell ref="B20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CashFlow</vt:lpstr>
      <vt:lpstr>Budget</vt:lpstr>
      <vt:lpstr>Budget inversé</vt:lpstr>
      <vt:lpstr>Inverse Bud</vt:lpstr>
      <vt:lpstr>Variance</vt:lpstr>
      <vt:lpstr>Multiple variance</vt:lpstr>
      <vt:lpstr>Financial St</vt:lpstr>
      <vt:lpstr>CS_Ivanblast</vt:lpstr>
      <vt:lpstr>2019EXO1</vt:lpstr>
      <vt:lpstr>2019EXO2</vt:lpstr>
      <vt:lpstr>2019EXO3</vt:lpstr>
      <vt:lpstr>2018EXO1</vt:lpstr>
      <vt:lpstr>2018EXO2</vt:lpstr>
      <vt:lpstr>2018EXO3-1</vt:lpstr>
      <vt:lpstr>2018EXO3-2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CORMERAIS</dc:creator>
  <cp:lastModifiedBy>Alexandre Piot</cp:lastModifiedBy>
  <dcterms:created xsi:type="dcterms:W3CDTF">2020-05-09T12:39:50Z</dcterms:created>
  <dcterms:modified xsi:type="dcterms:W3CDTF">2020-05-14T22:12:13Z</dcterms:modified>
</cp:coreProperties>
</file>