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Projetos\ProjetoCNPQ\"/>
    </mc:Choice>
  </mc:AlternateContent>
  <xr:revisionPtr revIDLastSave="0" documentId="13_ncr:1_{CAEC283C-92E2-4C4B-B77C-55E904EB5DF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Determinação da Calha Parshall" sheetId="1" r:id="rId1"/>
    <sheet name="MR, CP" sheetId="2" r:id="rId2"/>
    <sheet name="C coag" sheetId="3" r:id="rId3"/>
    <sheet name="Floc, Hid" sheetId="4" r:id="rId4"/>
    <sheet name="Floc, Mec" sheetId="5" r:id="rId5"/>
    <sheet name="Layout" sheetId="6" r:id="rId6"/>
    <sheet name="Decant conv" sheetId="7" r:id="rId7"/>
    <sheet name="Calha coleta, decant conv" sheetId="8" r:id="rId8"/>
    <sheet name="Cortina difusora Floc-Decant" sheetId="9" r:id="rId9"/>
    <sheet name="Recalc Cortina difusora Floc-De" sheetId="10" r:id="rId10"/>
    <sheet name="Decant laminar, NBR" sheetId="11" r:id="rId11"/>
    <sheet name="Decant laminar, design" sheetId="12" r:id="rId12"/>
    <sheet name="Sheet2" sheetId="16" r:id="rId13"/>
    <sheet name="__RiskSolver__" sheetId="13" state="hidden" r:id="rId14"/>
    <sheet name="__Solver__" sheetId="14" state="hidden" r:id="rId15"/>
  </sheets>
  <externalReferences>
    <externalReference r:id="rId1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4" l="1"/>
  <c r="A7" i="14"/>
  <c r="B3" i="14"/>
  <c r="A3" i="14"/>
  <c r="A2" i="14"/>
  <c r="T1" i="13"/>
  <c r="C1" i="13"/>
  <c r="C215" i="12"/>
  <c r="C212" i="12"/>
  <c r="C208" i="12"/>
  <c r="C187" i="12"/>
  <c r="C186" i="12"/>
  <c r="C195" i="12" s="1"/>
  <c r="H182" i="12"/>
  <c r="B2" i="14" s="1"/>
  <c r="D181" i="12"/>
  <c r="C111" i="12"/>
  <c r="F105" i="12"/>
  <c r="G105" i="12" s="1"/>
  <c r="H105" i="12" s="1"/>
  <c r="D105" i="12" s="1"/>
  <c r="C105" i="12"/>
  <c r="F104" i="12"/>
  <c r="G104" i="12" s="1"/>
  <c r="H104" i="12" s="1"/>
  <c r="D104" i="12" s="1"/>
  <c r="C104" i="12"/>
  <c r="F103" i="12"/>
  <c r="G103" i="12" s="1"/>
  <c r="H103" i="12" s="1"/>
  <c r="D103" i="12" s="1"/>
  <c r="C103" i="12"/>
  <c r="F102" i="12"/>
  <c r="G102" i="12" s="1"/>
  <c r="H102" i="12" s="1"/>
  <c r="D102" i="12" s="1"/>
  <c r="C102" i="12"/>
  <c r="C62" i="12"/>
  <c r="C68" i="12" s="1"/>
  <c r="C45" i="12"/>
  <c r="C20" i="12"/>
  <c r="B14" i="12"/>
  <c r="C27" i="12" s="1"/>
  <c r="C33" i="12" s="1"/>
  <c r="IV1" i="12"/>
  <c r="H66" i="11"/>
  <c r="G66" i="11"/>
  <c r="C64" i="11"/>
  <c r="C62" i="11"/>
  <c r="C60" i="11"/>
  <c r="C59" i="11"/>
  <c r="C63" i="11" s="1"/>
  <c r="C57" i="11"/>
  <c r="C7" i="11"/>
  <c r="C68" i="11" s="1"/>
  <c r="R79" i="10"/>
  <c r="R81" i="10" s="1"/>
  <c r="O79" i="10"/>
  <c r="O81" i="10" s="1"/>
  <c r="E71" i="10" s="1"/>
  <c r="R71" i="10"/>
  <c r="R75" i="10" s="1"/>
  <c r="R77" i="10" s="1"/>
  <c r="O71" i="10"/>
  <c r="E65" i="10"/>
  <c r="R73" i="10" s="1"/>
  <c r="C60" i="10"/>
  <c r="J54" i="10"/>
  <c r="D50" i="10"/>
  <c r="C46" i="10"/>
  <c r="E30" i="10"/>
  <c r="C10" i="10"/>
  <c r="C18" i="10" s="1"/>
  <c r="C26" i="10" s="1"/>
  <c r="R79" i="9"/>
  <c r="R81" i="9" s="1"/>
  <c r="O79" i="9"/>
  <c r="O81" i="9" s="1"/>
  <c r="E71" i="9" s="1"/>
  <c r="E75" i="9"/>
  <c r="R73" i="9"/>
  <c r="O73" i="9"/>
  <c r="R71" i="9"/>
  <c r="R75" i="9" s="1"/>
  <c r="R77" i="9" s="1"/>
  <c r="O71" i="9"/>
  <c r="E65" i="9"/>
  <c r="C60" i="9"/>
  <c r="E67" i="9" s="1"/>
  <c r="J54" i="9"/>
  <c r="D52" i="9"/>
  <c r="D50" i="9"/>
  <c r="C46" i="9"/>
  <c r="E30" i="9"/>
  <c r="C18" i="9"/>
  <c r="C10" i="9"/>
  <c r="C52" i="8"/>
  <c r="C46" i="8"/>
  <c r="C44" i="8"/>
  <c r="C38" i="8"/>
  <c r="C32" i="8"/>
  <c r="C26" i="8"/>
  <c r="C15" i="8"/>
  <c r="C66" i="7"/>
  <c r="F66" i="7" s="1"/>
  <c r="C60" i="7"/>
  <c r="G54" i="7"/>
  <c r="C54" i="7"/>
  <c r="C42" i="7"/>
  <c r="C48" i="7" s="1"/>
  <c r="C39" i="7"/>
  <c r="D52" i="10" s="1"/>
  <c r="C35" i="7"/>
  <c r="C33" i="7"/>
  <c r="E28" i="7"/>
  <c r="C30" i="7" s="1"/>
  <c r="C28" i="7"/>
  <c r="J23" i="7"/>
  <c r="C22" i="7"/>
  <c r="J22" i="7" s="1"/>
  <c r="C16" i="7"/>
  <c r="O64" i="5"/>
  <c r="P64" i="5" s="1"/>
  <c r="G64" i="5" s="1"/>
  <c r="L64" i="5"/>
  <c r="E64" i="5"/>
  <c r="M64" i="5" s="1"/>
  <c r="O63" i="5"/>
  <c r="P63" i="5" s="1"/>
  <c r="G63" i="5" s="1"/>
  <c r="L63" i="5"/>
  <c r="E63" i="5"/>
  <c r="M63" i="5" s="1"/>
  <c r="O62" i="5"/>
  <c r="P62" i="5" s="1"/>
  <c r="G62" i="5" s="1"/>
  <c r="L62" i="5"/>
  <c r="E62" i="5"/>
  <c r="M62" i="5" s="1"/>
  <c r="M35" i="5"/>
  <c r="E33" i="5"/>
  <c r="D9" i="5"/>
  <c r="H9" i="5" s="1"/>
  <c r="K9" i="5" s="1"/>
  <c r="K92" i="4"/>
  <c r="H92" i="4"/>
  <c r="D92" i="4"/>
  <c r="G91" i="4"/>
  <c r="C86" i="4"/>
  <c r="C84" i="4"/>
  <c r="M59" i="4"/>
  <c r="N59" i="4" s="1"/>
  <c r="D59" i="4" s="1"/>
  <c r="K59" i="4"/>
  <c r="L59" i="4" s="1"/>
  <c r="C59" i="4"/>
  <c r="M58" i="4"/>
  <c r="N58" i="4" s="1"/>
  <c r="D58" i="4" s="1"/>
  <c r="K58" i="4"/>
  <c r="L58" i="4" s="1"/>
  <c r="I58" i="4"/>
  <c r="J58" i="4" s="1"/>
  <c r="C58" i="4"/>
  <c r="C85" i="4" s="1"/>
  <c r="M57" i="4"/>
  <c r="N57" i="4" s="1"/>
  <c r="D57" i="4" s="1"/>
  <c r="K57" i="4"/>
  <c r="L57" i="4" s="1"/>
  <c r="C57" i="4"/>
  <c r="E33" i="4"/>
  <c r="K9" i="4"/>
  <c r="H9" i="4"/>
  <c r="D91" i="4" s="1"/>
  <c r="C63" i="3"/>
  <c r="C71" i="3" s="1"/>
  <c r="K61" i="3"/>
  <c r="C49" i="3"/>
  <c r="C55" i="3" s="1"/>
  <c r="C27" i="3"/>
  <c r="C35" i="3" s="1"/>
  <c r="K25" i="3"/>
  <c r="G25" i="3"/>
  <c r="C13" i="3"/>
  <c r="I25" i="3" s="1"/>
  <c r="C99" i="2"/>
  <c r="K67" i="2"/>
  <c r="K58" i="2"/>
  <c r="C33" i="2"/>
  <c r="C25" i="2"/>
  <c r="C24" i="2"/>
  <c r="C22" i="2"/>
  <c r="C50" i="2" s="1"/>
  <c r="K12" i="2"/>
  <c r="C12" i="2"/>
  <c r="C17" i="4" s="1"/>
  <c r="C23" i="4" s="1"/>
  <c r="C29" i="4" s="1"/>
  <c r="J14" i="1"/>
  <c r="R4" i="1"/>
  <c r="N63" i="5" l="1"/>
  <c r="H63" i="5"/>
  <c r="N62" i="5"/>
  <c r="O75" i="9"/>
  <c r="O77" i="9" s="1"/>
  <c r="N64" i="5"/>
  <c r="C201" i="12"/>
  <c r="C202" i="12" s="1"/>
  <c r="C214" i="12"/>
  <c r="E57" i="4"/>
  <c r="K84" i="4" s="1"/>
  <c r="L84" i="4" s="1"/>
  <c r="G84" i="4"/>
  <c r="G86" i="4"/>
  <c r="E59" i="4"/>
  <c r="G27" i="3"/>
  <c r="C16" i="8"/>
  <c r="C14" i="8"/>
  <c r="O75" i="10"/>
  <c r="O77" i="10" s="1"/>
  <c r="C39" i="12"/>
  <c r="F45" i="12" s="1"/>
  <c r="C53" i="12"/>
  <c r="C55" i="12" s="1"/>
  <c r="C77" i="2"/>
  <c r="C89" i="2" s="1"/>
  <c r="I67" i="2"/>
  <c r="I58" i="2"/>
  <c r="E58" i="4"/>
  <c r="G85" i="4"/>
  <c r="C52" i="11"/>
  <c r="C168" i="12"/>
  <c r="C172" i="12" s="1"/>
  <c r="B180" i="12" s="1"/>
  <c r="E75" i="10"/>
  <c r="E77" i="10" s="1"/>
  <c r="G61" i="3"/>
  <c r="G63" i="3" s="1"/>
  <c r="I61" i="3"/>
  <c r="H62" i="5"/>
  <c r="C74" i="12"/>
  <c r="C117" i="12" s="1"/>
  <c r="C19" i="3"/>
  <c r="I59" i="4"/>
  <c r="J59" i="4" s="1"/>
  <c r="C26" i="9"/>
  <c r="E67" i="10"/>
  <c r="C17" i="5"/>
  <c r="H64" i="5"/>
  <c r="C42" i="2"/>
  <c r="I57" i="4"/>
  <c r="J57" i="4" s="1"/>
  <c r="O73" i="10"/>
  <c r="C66" i="11"/>
  <c r="G58" i="2"/>
  <c r="C58" i="2" s="1"/>
  <c r="C59" i="2" s="1"/>
  <c r="E77" i="9"/>
  <c r="C9" i="11"/>
  <c r="C67" i="11"/>
  <c r="C51" i="11"/>
  <c r="F57" i="4" l="1"/>
  <c r="D84" i="4" s="1"/>
  <c r="M84" i="4" s="1"/>
  <c r="N84" i="4" s="1"/>
  <c r="F84" i="4" s="1"/>
  <c r="H84" i="4" s="1"/>
  <c r="I84" i="4" s="1"/>
  <c r="L91" i="4" s="1"/>
  <c r="E81" i="10"/>
  <c r="C1" i="14"/>
  <c r="B1" i="14"/>
  <c r="K86" i="4"/>
  <c r="L86" i="4" s="1"/>
  <c r="E86" i="4"/>
  <c r="E85" i="4"/>
  <c r="F58" i="4"/>
  <c r="K85" i="4"/>
  <c r="L85" i="4" s="1"/>
  <c r="E81" i="9"/>
  <c r="C113" i="2"/>
  <c r="C97" i="2"/>
  <c r="C105" i="2" s="1"/>
  <c r="E84" i="4"/>
  <c r="C43" i="5"/>
  <c r="C23" i="5"/>
  <c r="C29" i="5" s="1"/>
  <c r="G67" i="2"/>
  <c r="C67" i="2" s="1"/>
  <c r="C60" i="2"/>
  <c r="C70" i="11"/>
  <c r="F59" i="4"/>
  <c r="G57" i="4" l="1"/>
  <c r="C83" i="2"/>
  <c r="C121" i="2"/>
  <c r="C131" i="2" s="1"/>
  <c r="D86" i="4"/>
  <c r="M86" i="4" s="1"/>
  <c r="N86" i="4" s="1"/>
  <c r="F86" i="4" s="1"/>
  <c r="H86" i="4" s="1"/>
  <c r="I86" i="4" s="1"/>
  <c r="G59" i="4"/>
  <c r="G58" i="4"/>
  <c r="D85" i="4"/>
  <c r="M85" i="4" s="1"/>
  <c r="N85" i="4" s="1"/>
  <c r="F85" i="4" s="1"/>
  <c r="H85" i="4" s="1"/>
  <c r="I85" i="4" s="1"/>
  <c r="M91" i="4" s="1"/>
  <c r="N91" i="4" l="1"/>
  <c r="E82" i="10"/>
  <c r="E8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34" authorId="0" shapeId="0" xr:uid="{00000000-0006-0000-0100-000001000000}">
      <text>
        <r>
          <rPr>
            <sz val="10"/>
            <color rgb="FF000000"/>
            <rFont val="Arial"/>
          </rPr>
          <t>É a propriedade do fluido que determina o grau de sua resistência a força de cisalhamento. Pode-se também ser definida como a resistência do fluido ao esforço cortante ou de cisalhamento. Esta resistência é decorrente basicamente da interação entre as moléculas do fluido.
	-Prof. Fernando J. C. Magalhães Filho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0"/>
            <color rgb="FF000000"/>
            <rFont val="Arial"/>
          </rPr>
          <t>É a propriedade dos fluidos responsável pela resistência ao deslocamento.
	-Prof. Fernando J. C. Magalhães Filho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3" authorId="0" shapeId="0" xr:uid="{00000000-0006-0000-0300-000001000000}">
      <text>
        <r>
          <rPr>
            <sz val="10"/>
            <color rgb="FF000000"/>
            <rFont val="Arial"/>
          </rPr>
          <t>Tempo de detenção (θh) deve ser divido pelo número de unidades. Já que o tempo de detenção é de todo o floculador.
	-Prof. Fernando J. C. Magalhães Filho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3" authorId="0" shapeId="0" xr:uid="{00000000-0006-0000-0400-000001000000}">
      <text>
        <r>
          <rPr>
            <sz val="10"/>
            <color rgb="FF000000"/>
            <rFont val="Arial"/>
          </rPr>
          <t>p é a massa específica da água (kg/m³)
	-Prof. Fernando J. C. Magalhães Filho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8" authorId="0" shapeId="0" xr:uid="{00000000-0006-0000-0600-000001000000}">
      <text>
        <r>
          <rPr>
            <sz val="10"/>
            <color rgb="FF000000"/>
            <rFont val="Arial"/>
          </rPr>
          <t>https://www.youtube.com/watch?v=bARZPr-wxwE
	-Prof. Fernando J. C. Magalhães Filho</t>
        </r>
      </text>
    </comment>
  </commentList>
</comments>
</file>

<file path=xl/sharedStrings.xml><?xml version="1.0" encoding="utf-8"?>
<sst xmlns="http://schemas.openxmlformats.org/spreadsheetml/2006/main" count="785" uniqueCount="450">
  <si>
    <t>Dimensionamento do canal de água coagulada</t>
  </si>
  <si>
    <t>hipóteses iniciais</t>
  </si>
  <si>
    <t>velocidade</t>
  </si>
  <si>
    <t>m.s-1</t>
  </si>
  <si>
    <t>profundidade da lâmina líquida</t>
  </si>
  <si>
    <t>m</t>
  </si>
  <si>
    <t>Cálculo da largura do canal</t>
  </si>
  <si>
    <t>B = Q / ( Vc * h )</t>
  </si>
  <si>
    <t>B</t>
  </si>
  <si>
    <t>Cálculo do raio hidráulico</t>
  </si>
  <si>
    <t>RH = ( B * h ) / ( B + 2*h )</t>
  </si>
  <si>
    <t>RH</t>
  </si>
  <si>
    <t>Cálculo da perda de carga unitária</t>
  </si>
  <si>
    <t>Q = ( 1 / n ) * A * ( RH ˆ 2/3 ) * ( j ˆ 1/2 )</t>
  </si>
  <si>
    <t>j = ( Q*n / (A*(RHˆ2/3) ) ) ˆ 2</t>
  </si>
  <si>
    <t>Q*n</t>
  </si>
  <si>
    <t>A</t>
  </si>
  <si>
    <t>( RH ˆ 2/3 )</t>
  </si>
  <si>
    <t>j</t>
  </si>
  <si>
    <t>m/m</t>
  </si>
  <si>
    <t>j ˆ 2</t>
  </si>
  <si>
    <t>n</t>
  </si>
  <si>
    <t>manning</t>
  </si>
  <si>
    <t>Cálculo do gradiente de velocidade</t>
  </si>
  <si>
    <t>G = RAIZ ( ( γ * ν * j ) / μ )</t>
  </si>
  <si>
    <t>G</t>
  </si>
  <si>
    <t>s-1</t>
  </si>
  <si>
    <t>Recalculando</t>
  </si>
  <si>
    <t>Dimensionamento dos floculadores hidráulicos de fluxo vertical</t>
  </si>
  <si>
    <t>Parâmetros de projeto</t>
  </si>
  <si>
    <t>Dimensionamento da calha parshall</t>
  </si>
  <si>
    <t>Dimensionamento das unidades de mistura rápida (MR) e mistura lenta (ML)</t>
  </si>
  <si>
    <t>Tempo de detenção hidráulico</t>
  </si>
  <si>
    <t>min</t>
  </si>
  <si>
    <t>Entrada de dados</t>
  </si>
  <si>
    <t xml:space="preserve">Sistema de floculação composto por </t>
  </si>
  <si>
    <t>câmaras em série, com gradiente de velocidades</t>
  </si>
  <si>
    <t>Dado calculado</t>
  </si>
  <si>
    <t xml:space="preserve">Para a vazão de </t>
  </si>
  <si>
    <t>Dados do projeto</t>
  </si>
  <si>
    <t xml:space="preserve">Vazão </t>
  </si>
  <si>
    <t>Profundidade da lâmina líquida</t>
  </si>
  <si>
    <t>Número de decantadores</t>
  </si>
  <si>
    <t>m3.s-1</t>
  </si>
  <si>
    <t>MR</t>
  </si>
  <si>
    <t>- &gt;</t>
  </si>
  <si>
    <t>Calha parshall (CP)</t>
  </si>
  <si>
    <t>ML</t>
  </si>
  <si>
    <t>Floculadores (hidráulicos ou mecânicos)</t>
  </si>
  <si>
    <t>Número de floculadores</t>
  </si>
  <si>
    <t>Q =</t>
  </si>
  <si>
    <t>Largura do decantador</t>
  </si>
  <si>
    <t>Será admitido que uma das dimensões do floculador é conhecido, sendo esta em função da largura do decantador</t>
  </si>
  <si>
    <t>Cálculo do volume do floculador</t>
  </si>
  <si>
    <t>Vf = Q * θh</t>
  </si>
  <si>
    <t>Vf</t>
  </si>
  <si>
    <t>m3</t>
  </si>
  <si>
    <t>Cálculo da área superficial do floculador</t>
  </si>
  <si>
    <t>As = Vf / h</t>
  </si>
  <si>
    <t>As</t>
  </si>
  <si>
    <t>m2</t>
  </si>
  <si>
    <t>Cálculo da largura do floculador</t>
  </si>
  <si>
    <t>Bf = As / Bd</t>
  </si>
  <si>
    <t>Bf1</t>
  </si>
  <si>
    <t>Bf1 adotado</t>
  </si>
  <si>
    <t>Cada canal com uma largura individual de</t>
  </si>
  <si>
    <t>Cálculo do número de espaçamentos entre chicanas em cada câmara de floculação</t>
  </si>
  <si>
    <t>n = 0,045 * 3 RAIZ ( ( a * L * G) / Q ) ˆ 2 * θh</t>
  </si>
  <si>
    <t>número de espaçamentos entre chicanas</t>
  </si>
  <si>
    <t>a</t>
  </si>
  <si>
    <t>largura do canal do floculador em metros</t>
  </si>
  <si>
    <t>L</t>
  </si>
  <si>
    <t>comprimento do floculador em metros</t>
  </si>
  <si>
    <t xml:space="preserve">G </t>
  </si>
  <si>
    <t>gradiente de velocidade em s-1</t>
  </si>
  <si>
    <t>Q</t>
  </si>
  <si>
    <t>vazão em m3/s</t>
  </si>
  <si>
    <t>θh</t>
  </si>
  <si>
    <t>tempo de floculação em minutos</t>
  </si>
  <si>
    <t>Cálculo dos espaçamentos entre as chicanas</t>
  </si>
  <si>
    <t>e = L / n</t>
  </si>
  <si>
    <t>Cálculo das velocidades nos trechos retos e curvas 180o</t>
  </si>
  <si>
    <t>V1 = Q / Bf * e</t>
  </si>
  <si>
    <t>V2 = 2/3 * V1</t>
  </si>
  <si>
    <t>Canal</t>
  </si>
  <si>
    <t>G (s-1)</t>
  </si>
  <si>
    <t>e (m)</t>
  </si>
  <si>
    <t>V1 (m/s)</t>
  </si>
  <si>
    <t>V2 (m/s)</t>
  </si>
  <si>
    <t>a * L * G</t>
  </si>
  <si>
    <t>/ Q</t>
  </si>
  <si>
    <t>ˆ2</t>
  </si>
  <si>
    <t>* θh</t>
  </si>
  <si>
    <t>3 RAIZ</t>
  </si>
  <si>
    <t>* 0,045</t>
  </si>
  <si>
    <t>foi selecionado uma CP com garganta de</t>
  </si>
  <si>
    <t>`</t>
  </si>
  <si>
    <t>ou</t>
  </si>
  <si>
    <t>cm</t>
  </si>
  <si>
    <t>Equação de descarga da Calha parshall</t>
  </si>
  <si>
    <t>Ha = 0,608*Qˆ0,639</t>
  </si>
  <si>
    <t>Ha = altura da lâmina líquida em metros;</t>
  </si>
  <si>
    <t>Q = vazão em m3/s.</t>
  </si>
  <si>
    <t>Ha</t>
  </si>
  <si>
    <t>k</t>
  </si>
  <si>
    <t>Cálculo da largura na secção de medida</t>
  </si>
  <si>
    <t>ver dimensões padronizadas de calha parshall</t>
  </si>
  <si>
    <t>D' = 2/3 * (D-W) + W</t>
  </si>
  <si>
    <t>D'</t>
  </si>
  <si>
    <t>D</t>
  </si>
  <si>
    <t>W</t>
  </si>
  <si>
    <t>Cálculo da velocidade na secção de medida</t>
  </si>
  <si>
    <t>Va = Q / A = Q / D' * Ha</t>
  </si>
  <si>
    <t>Va</t>
  </si>
  <si>
    <t>Cálculo da energia total disponível</t>
  </si>
  <si>
    <t>Ea = Ha + (Vaˆ2 / 2*g) + N</t>
  </si>
  <si>
    <t>Ea</t>
  </si>
  <si>
    <t>N</t>
  </si>
  <si>
    <t>Cálculo do ângulo fictício θ</t>
  </si>
  <si>
    <t>cos(θ) = - ( (g*Q) / (( W * ( 0,67 * g * Ea) ) ˆ 3/2) )</t>
  </si>
  <si>
    <t>cos(θ)</t>
  </si>
  <si>
    <t>(g*Q) =</t>
  </si>
  <si>
    <t>(0,67*g*Ea) =</t>
  </si>
  <si>
    <t>Cálculo das extensão dos canais</t>
  </si>
  <si>
    <t>ˆ (3/2)</t>
  </si>
  <si>
    <t>Lt = θh * V1</t>
  </si>
  <si>
    <t>Rh = (B * e) / ( 2 * (B+e))</t>
  </si>
  <si>
    <t>Cálculo das perdas de cargas distribuídas</t>
  </si>
  <si>
    <t>j = ( (Q * n) / (A * (Rh ^ 2/3)) ) 2</t>
  </si>
  <si>
    <t>ΔHd = j.Lt</t>
  </si>
  <si>
    <t>θ</t>
  </si>
  <si>
    <t>Cálculo das perdas de cargas localizadas</t>
  </si>
  <si>
    <t>ΔHl = ( n*v1^2 + (n-1)*V2^2 ) / 2*g</t>
  </si>
  <si>
    <t>radianos</t>
  </si>
  <si>
    <t>G = RAIZ ( ( γ * ΔH ) / ( μ * θh ) )</t>
  </si>
  <si>
    <t>Lt (m)</t>
  </si>
  <si>
    <t>Rh</t>
  </si>
  <si>
    <t>ΔHd (cm)</t>
  </si>
  <si>
    <t>graus</t>
  </si>
  <si>
    <t>ΔHl (cm)</t>
  </si>
  <si>
    <t>ΔHt (cm)</t>
  </si>
  <si>
    <t xml:space="preserve"> ( ( (Q/4) * n) / (A * (Rh ^ 2/3)) )</t>
  </si>
  <si>
    <t>Cálculo da velocidade da água no início do ressalto</t>
  </si>
  <si>
    <t>^2</t>
  </si>
  <si>
    <t>j.Lt (m)</t>
  </si>
  <si>
    <t>V1 = ( 2 * cos (θ/3 ) ) * ( ( (  (2 * g * Ea ) / 3 ) ) ˆ 1/2 )</t>
  </si>
  <si>
    <t>v1</t>
  </si>
  <si>
    <t>2*cos(θ/3) =</t>
  </si>
  <si>
    <t>(2*g*Ea)/3 =</t>
  </si>
  <si>
    <t>ˆ (1/2)</t>
  </si>
  <si>
    <t>Cálculo da altura de água no início do ressalto</t>
  </si>
  <si>
    <t>Ea = E1</t>
  </si>
  <si>
    <t xml:space="preserve"> </t>
  </si>
  <si>
    <t>Ea = y1 + ((V1 ˆ 2) / ( 2 * g ))</t>
  </si>
  <si>
    <t>y1 = Ea - ((V1 ˆ 2) / ( 2 * g ))</t>
  </si>
  <si>
    <t>y1</t>
  </si>
  <si>
    <t>Cálculo do número de Froude</t>
  </si>
  <si>
    <t>Fr1 = V1 / RAIZ (g * y1)</t>
  </si>
  <si>
    <t>Fr1</t>
  </si>
  <si>
    <t>Cálculo da altura conjugada do ressalto</t>
  </si>
  <si>
    <t xml:space="preserve">y3 = y1/2 * (RAIZ ( 1 + 8 * (Fr1 ˆ 2)) - 1 ) </t>
  </si>
  <si>
    <t>y3</t>
  </si>
  <si>
    <t>Dimensionamento dos floculadores mecânicos de eixo vertical</t>
  </si>
  <si>
    <t>Cálculo da profundidade no final do trecho divergente</t>
  </si>
  <si>
    <t>y2 = (y3-N+K)</t>
  </si>
  <si>
    <t>y2</t>
  </si>
  <si>
    <t>K</t>
  </si>
  <si>
    <t>Cálculo da velocidade na saída do trecho divergente</t>
  </si>
  <si>
    <t>V2 = Q / A =  Q / (y2*C)</t>
  </si>
  <si>
    <t>V2</t>
  </si>
  <si>
    <t>Cálculo da perda de carga no ressalto hidráulico</t>
  </si>
  <si>
    <t>Ha + N = y3 + ΔH</t>
  </si>
  <si>
    <t>ΔH = ( Ha + N ) - y3</t>
  </si>
  <si>
    <t>ΔH</t>
  </si>
  <si>
    <t>Cálculo do tempo de residência médio no trecho divergente</t>
  </si>
  <si>
    <t>θh = Gparshall / Vm = Gparshall / ((V1+V2)/2)</t>
  </si>
  <si>
    <t>s</t>
  </si>
  <si>
    <t>ver propriedades da água</t>
  </si>
  <si>
    <t>γ</t>
  </si>
  <si>
    <t>kgf.m-3</t>
  </si>
  <si>
    <t>massa específica (20 oC)</t>
  </si>
  <si>
    <t>μ</t>
  </si>
  <si>
    <t>kgf.m2.s-1</t>
  </si>
  <si>
    <t>viscosidade dinâmica</t>
  </si>
  <si>
    <t xml:space="preserve">Vamos admitir um sistema de floculação composto por </t>
  </si>
  <si>
    <t>reatores em série e</t>
  </si>
  <si>
    <t xml:space="preserve">em paralelo, o que irá proporcionar um total de </t>
  </si>
  <si>
    <t>câmaras de floculação</t>
  </si>
  <si>
    <t>Cálculo do volume de cada câmara de floculação</t>
  </si>
  <si>
    <t>V = Vf / nc</t>
  </si>
  <si>
    <t>nc</t>
  </si>
  <si>
    <t>número de câmaras</t>
  </si>
  <si>
    <t>V</t>
  </si>
  <si>
    <t>Cálculo da potência a ser introduzida no volume de líquido</t>
  </si>
  <si>
    <t>Pot = (Gˆ2)*μ*V</t>
  </si>
  <si>
    <t>Dimensionamento do sistema de agitação</t>
  </si>
  <si>
    <t>O sistema de agitação será composto por turbinas de fluxo misto (axial e radial), com paletas inclinadas a 45 graus</t>
  </si>
  <si>
    <t>Pot = KT*ρ*(nˆ3)*(Dˆ5)</t>
  </si>
  <si>
    <t>KT</t>
  </si>
  <si>
    <t>conforme sistema de agitação escolhido</t>
  </si>
  <si>
    <t>Verificação da velocidade periférica</t>
  </si>
  <si>
    <t>Vp = pi * D * n</t>
  </si>
  <si>
    <t>Vol (m3)</t>
  </si>
  <si>
    <t>Pot (W)</t>
  </si>
  <si>
    <t>D (m)</t>
  </si>
  <si>
    <t>n (rpm)</t>
  </si>
  <si>
    <t>Vp (m/s)</t>
  </si>
  <si>
    <t>ρ</t>
  </si>
  <si>
    <t>Dˆ5</t>
  </si>
  <si>
    <t>Pot/KT*ρ</t>
  </si>
  <si>
    <t>/Dˆ5</t>
  </si>
  <si>
    <t>nˆ3 (rps)</t>
  </si>
  <si>
    <t>rpm (n)</t>
  </si>
  <si>
    <t>Sendo assim:</t>
  </si>
  <si>
    <t xml:space="preserve">Foram dimensionados </t>
  </si>
  <si>
    <t xml:space="preserve">unidades de floculadores, com </t>
  </si>
  <si>
    <t>câmaras em série com grandientes de velocidades escalonados em:</t>
  </si>
  <si>
    <t>s-1.</t>
  </si>
  <si>
    <t xml:space="preserve">Cada floculador possui </t>
  </si>
  <si>
    <t xml:space="preserve">m de largura e cada unidade possui largura </t>
  </si>
  <si>
    <t>m de largura, com comprimento de</t>
  </si>
  <si>
    <t>, conforme largua do decantador.</t>
  </si>
  <si>
    <t>Layout 1</t>
  </si>
  <si>
    <t>Layout 2</t>
  </si>
  <si>
    <t>Layout 3</t>
  </si>
  <si>
    <t>Dimensionamento das unidades de sedimentação - Decantador convencional, fluxo horizontal</t>
  </si>
  <si>
    <t>Velocidade de sedimentação dos flocos</t>
  </si>
  <si>
    <t>m3.m-2.d-1</t>
  </si>
  <si>
    <t>Para águas turvas está entre 30 e 60m³/m²/dia;</t>
  </si>
  <si>
    <t>Para águas claras está entre 15 e 45m³/m²/dia.</t>
  </si>
  <si>
    <t>Profundidade entre 3 e 5m.</t>
  </si>
  <si>
    <t>Cálculo da área superficial do decantador</t>
  </si>
  <si>
    <t>Vs = q = Q / As</t>
  </si>
  <si>
    <t xml:space="preserve">As = Q / q </t>
  </si>
  <si>
    <t>Verificação do tempo de detenção hidráulico</t>
  </si>
  <si>
    <t>O tempo de detenção deve estar entre 2,5 e 4h para que a sedimentação das partículas possa ocorrer.</t>
  </si>
  <si>
    <t>θh = Vdec / Q</t>
  </si>
  <si>
    <t>horas</t>
  </si>
  <si>
    <t>&lt;</t>
  </si>
  <si>
    <t>e</t>
  </si>
  <si>
    <t>&gt;</t>
  </si>
  <si>
    <t>Dimensionamento das calhas de coleta de água decantada</t>
  </si>
  <si>
    <t>Cálculo da vazão linear nas calhas de coleta de água decantada</t>
  </si>
  <si>
    <t>A vazão nas calhas de coleta de água decantada pode ser estimada como:</t>
  </si>
  <si>
    <t>ql &lt;= 0,018 * H * q</t>
  </si>
  <si>
    <t>ql</t>
  </si>
  <si>
    <t>vazão linear nas calhas de coleta de água decantada (l/s/m)</t>
  </si>
  <si>
    <t>H</t>
  </si>
  <si>
    <t>altura útil do decantador (m)</t>
  </si>
  <si>
    <t>q</t>
  </si>
  <si>
    <t>taxa de escoamento superficial no decantador (m3/m2/dia)</t>
  </si>
  <si>
    <t>ql &lt;=</t>
  </si>
  <si>
    <t>l/s/m</t>
  </si>
  <si>
    <t>Definição da geometria do decantador</t>
  </si>
  <si>
    <t>Adimitindo relação comprimento e largura igual a</t>
  </si>
  <si>
    <t>Relação entre o comprimento e a largura do decantador, que deve estar entre 2,25 e 4.</t>
  </si>
  <si>
    <t>As = B . L =</t>
  </si>
  <si>
    <t>. B ^ 2 =</t>
  </si>
  <si>
    <t>m3/m2/dia</t>
  </si>
  <si>
    <t>portanto:</t>
  </si>
  <si>
    <t>pois</t>
  </si>
  <si>
    <t>Cálculo do comprimento total de vertedor</t>
  </si>
  <si>
    <t>L = 4 * B</t>
  </si>
  <si>
    <t>ql = Q / Lv</t>
  </si>
  <si>
    <t>Lv</t>
  </si>
  <si>
    <t>Dimensionamento da cortina difusora de passagem do sistema de floculação para o decantador</t>
  </si>
  <si>
    <t>Cálculo da área de furos</t>
  </si>
  <si>
    <t xml:space="preserve">Será admitida uma velocidade na passagem de </t>
  </si>
  <si>
    <t>m/s. Logo, tem-se que:</t>
  </si>
  <si>
    <t xml:space="preserve">Admitindo que o comprimento da calha de coleta de água de lavagem não exceda a </t>
  </si>
  <si>
    <t>Q = V * Afuros</t>
  </si>
  <si>
    <t>%</t>
  </si>
  <si>
    <t>A furos</t>
  </si>
  <si>
    <t>do comprimento do decantador, tem-se que:</t>
  </si>
  <si>
    <t>L calha = L * 0,2</t>
  </si>
  <si>
    <t>L calha</t>
  </si>
  <si>
    <t xml:space="preserve">Serão adotados furos com geometria quadrada, tendo os mesmos largura de </t>
  </si>
  <si>
    <t>m.</t>
  </si>
  <si>
    <t>Cálculo do número de orifícios</t>
  </si>
  <si>
    <t>Cálculo do número de calhas</t>
  </si>
  <si>
    <t>N calhas = Lv / 2 * L calha</t>
  </si>
  <si>
    <t>N orifícios = A de furos / Área do furo</t>
  </si>
  <si>
    <t>As nova</t>
  </si>
  <si>
    <t>N calhas</t>
  </si>
  <si>
    <t>N orifícios</t>
  </si>
  <si>
    <t>orifícios</t>
  </si>
  <si>
    <t>Disposição das passagens na cortina difusora</t>
  </si>
  <si>
    <t>calhas</t>
  </si>
  <si>
    <t>Cálculo da área individual de influência de cada orifício</t>
  </si>
  <si>
    <t>Portanto, vamos adotar um total de</t>
  </si>
  <si>
    <t>Aind = ( B (largura dec) * altura, profunidade ) / N orifícios</t>
  </si>
  <si>
    <t xml:space="preserve">calhas, com </t>
  </si>
  <si>
    <t>Aind</t>
  </si>
  <si>
    <t>metros de comprimento. Logo,</t>
  </si>
  <si>
    <t>Logo,</t>
  </si>
  <si>
    <t>Logo, tem-se que:</t>
  </si>
  <si>
    <t>Largura da área individual de influência</t>
  </si>
  <si>
    <t>Cálculo da taxa de escoamento superficial</t>
  </si>
  <si>
    <t>q = Q / As</t>
  </si>
  <si>
    <t>Adotado</t>
  </si>
  <si>
    <t>Cálculo do espaçamento entre as calhas</t>
  </si>
  <si>
    <t>Esp = Largura do decantandor (B) / Número de calhas (N calhas)</t>
  </si>
  <si>
    <t>Esp</t>
  </si>
  <si>
    <t>Cálculo da velocidade horizontal</t>
  </si>
  <si>
    <t>Deve-se levar em conta que a velocidade de escoamento da água no decantador deve ser inferior a 1,25cm/s.</t>
  </si>
  <si>
    <t>Vh = Q /Ah</t>
  </si>
  <si>
    <t>Vh</t>
  </si>
  <si>
    <t>Cálculo do número de fileiras horizontais e verticais</t>
  </si>
  <si>
    <t>N fileiras horizontais</t>
  </si>
  <si>
    <t>N fileiras verticais</t>
  </si>
  <si>
    <t>cm.s-1</t>
  </si>
  <si>
    <t xml:space="preserve">Portanto, serão adotadas </t>
  </si>
  <si>
    <t xml:space="preserve">fileiras horizontais e </t>
  </si>
  <si>
    <t>verticais, tendo um total de</t>
  </si>
  <si>
    <t>furos.</t>
  </si>
  <si>
    <t>Cálculo da velocidade de escoamento nos orifícios</t>
  </si>
  <si>
    <t>Vh = Q / A orifícios</t>
  </si>
  <si>
    <t>Rh = B.h / (B + 2.h)</t>
  </si>
  <si>
    <t>m/s</t>
  </si>
  <si>
    <t>Verificação do Gradiente de Velocidade nos orifícios</t>
  </si>
  <si>
    <t>Dh</t>
  </si>
  <si>
    <t>Cálculo do número de Reynolds</t>
  </si>
  <si>
    <t>Re = Vh . Rh / v</t>
  </si>
  <si>
    <t>m2.s-1</t>
  </si>
  <si>
    <t>Re</t>
  </si>
  <si>
    <t>viscosidade cinemática</t>
  </si>
  <si>
    <t>A cortina difusora será confeccionada em madeira, de modo que pode-se adotar um valor de rugosidade equivalente a</t>
  </si>
  <si>
    <t>mm.</t>
  </si>
  <si>
    <t>f</t>
  </si>
  <si>
    <t>ν</t>
  </si>
  <si>
    <t>5,74/Re^0,9</t>
  </si>
  <si>
    <t>f adotado</t>
  </si>
  <si>
    <t>E/(3,7*Dh)</t>
  </si>
  <si>
    <t>E/(3,7*Dh) + 5,74/Re^0,9</t>
  </si>
  <si>
    <t>log</t>
  </si>
  <si>
    <t>Conclusão:</t>
  </si>
  <si>
    <t xml:space="preserve">0,25 / </t>
  </si>
  <si>
    <t>Dimensionamento de decantador laminares</t>
  </si>
  <si>
    <t>Análise da vazão</t>
  </si>
  <si>
    <t>m3/s</t>
  </si>
  <si>
    <t>m3/dia</t>
  </si>
  <si>
    <t>Deve ter</t>
  </si>
  <si>
    <t>Critérios e parâmetros dos projetos</t>
  </si>
  <si>
    <t>vazão que aplicada na unidade, m3/s</t>
  </si>
  <si>
    <t>área superficial útil da unidade, m2</t>
  </si>
  <si>
    <t>fator de área, adimensional</t>
  </si>
  <si>
    <t>Vs</t>
  </si>
  <si>
    <t>velocidade de sedimentação, m/s</t>
  </si>
  <si>
    <t>Análise de dimensionamentos iniciais</t>
  </si>
  <si>
    <t>m3/m2 dia</t>
  </si>
  <si>
    <t>A dec convenc</t>
  </si>
  <si>
    <t>A dec convenc unit</t>
  </si>
  <si>
    <t>S</t>
  </si>
  <si>
    <t>Dimensionamento das unidades de sedimentação - Decantador laminar</t>
  </si>
  <si>
    <t>f dec lam '</t>
  </si>
  <si>
    <t>Placas paralelas</t>
  </si>
  <si>
    <t>(l) comprimento da placa</t>
  </si>
  <si>
    <t>(w) espessura entre placas</t>
  </si>
  <si>
    <t>f dec lam ''</t>
  </si>
  <si>
    <t>(Esp) espessura da placa</t>
  </si>
  <si>
    <t>ângulo das placas em relação a horizontal</t>
  </si>
  <si>
    <t>f dec lam '''</t>
  </si>
  <si>
    <t>A dec lam '</t>
  </si>
  <si>
    <t>rad</t>
  </si>
  <si>
    <t>Cálculo da relação l/w</t>
  </si>
  <si>
    <t>L = l / w</t>
  </si>
  <si>
    <t>A dec lam ''</t>
  </si>
  <si>
    <t>Cálculo da velocidade de escoamento entre placas</t>
  </si>
  <si>
    <t>A dec lam '''</t>
  </si>
  <si>
    <t>Vs = ( Vo * S ) / ( L * cos θ + sen θ )</t>
  </si>
  <si>
    <t>Vo = Vs * (L*cos θ + sen θ)</t>
  </si>
  <si>
    <t>Vo</t>
  </si>
  <si>
    <t>m/dia</t>
  </si>
  <si>
    <t>Cálculo da área útil entre as placas</t>
  </si>
  <si>
    <t>Q = Vo . Aútil =</t>
  </si>
  <si>
    <t>Aútil</t>
  </si>
  <si>
    <t>Cálculo da área superficial útil entre as placas</t>
  </si>
  <si>
    <t>Asu = Au / sen θ</t>
  </si>
  <si>
    <t>Asu</t>
  </si>
  <si>
    <t>Admitindo uma relação entre comprimento e largura igual 3/2, tem-se que:</t>
  </si>
  <si>
    <t>Asu = B * L = (3B^2)/2</t>
  </si>
  <si>
    <t>B adotado</t>
  </si>
  <si>
    <t>Cálculo do número de espaçamentos entre as placas</t>
  </si>
  <si>
    <t>Ne = Lútil / w</t>
  </si>
  <si>
    <t>Lútil = Aútil / B</t>
  </si>
  <si>
    <t>Lútil</t>
  </si>
  <si>
    <t>Ne</t>
  </si>
  <si>
    <t>Ne adotado</t>
  </si>
  <si>
    <t>Cálculo do número de placas</t>
  </si>
  <si>
    <t>Nplacas = ( Nesp + 1 )</t>
  </si>
  <si>
    <t>Nplacas</t>
  </si>
  <si>
    <t>Cálculo do comprimento do decantador perpendicular as placas</t>
  </si>
  <si>
    <t>Lp = Ne.w + Nplacas.Esp</t>
  </si>
  <si>
    <t>Lp</t>
  </si>
  <si>
    <t>Cálculo do comprimento do decantador relativo ao plano horizontal</t>
  </si>
  <si>
    <t>L = x + Ld = l * cos θ + Lp / sen θ</t>
  </si>
  <si>
    <t>Arranjo dos poços de lodo e definição das dimensões finais do decantador laminar</t>
  </si>
  <si>
    <t>Em função de alguns valores de B, tem-se que:</t>
  </si>
  <si>
    <t>B (m)</t>
  </si>
  <si>
    <t>x (m)</t>
  </si>
  <si>
    <t>H (m)</t>
  </si>
  <si>
    <t>rad θ</t>
  </si>
  <si>
    <t>tan rad θ</t>
  </si>
  <si>
    <t>tan rad θ * B (m)</t>
  </si>
  <si>
    <t>Admitindo que cada poço de lodo tenha uma largura de</t>
  </si>
  <si>
    <t>metros, tem-se que:</t>
  </si>
  <si>
    <t>Apoço = largura do poço x largura do poço</t>
  </si>
  <si>
    <t>Apoço</t>
  </si>
  <si>
    <t>Portanto, o número de poços pode ser calculado em função da área total do decantador</t>
  </si>
  <si>
    <t>Npoços = ( B largura do decantador x Comprimento do decantador ) / Apoço</t>
  </si>
  <si>
    <t>Npoço</t>
  </si>
  <si>
    <t>Npoço adotado</t>
  </si>
  <si>
    <t>Verificação do dimensionamento hidráulico</t>
  </si>
  <si>
    <t>L = x + Ld =</t>
  </si>
  <si>
    <t>Ld = L - x</t>
  </si>
  <si>
    <t>Ld</t>
  </si>
  <si>
    <t>sen θ = Lp / Ld</t>
  </si>
  <si>
    <t>Cálculo do número de espaçamentos</t>
  </si>
  <si>
    <t>20204271590599848767</t>
  </si>
  <si>
    <t>Lp = Ne.w + (Ne+1).Esp</t>
  </si>
  <si>
    <t>babvqvEH4FELuFpC</t>
  </si>
  <si>
    <t>erro</t>
  </si>
  <si>
    <t xml:space="preserve">solver </t>
  </si>
  <si>
    <t>Portanto, vamos adotar:</t>
  </si>
  <si>
    <t>LjE=</t>
  </si>
  <si>
    <t>JTMl</t>
  </si>
  <si>
    <t>Uk9SRkFGdXkYd2l8WXdcc0xRUkZCWnVkBXZ1YEVqQG1SVldaQkZpeRh2</t>
  </si>
  <si>
    <t>UVA=</t>
  </si>
  <si>
    <t/>
  </si>
  <si>
    <t>Cálculo da Velocidade de Escoamento entre as Placas</t>
  </si>
  <si>
    <t>Q = Vo . Aútil</t>
  </si>
  <si>
    <t>Vo = Q / Aútil</t>
  </si>
  <si>
    <t>Vo = Q / Ne*B*w</t>
  </si>
  <si>
    <t>cm/s</t>
  </si>
  <si>
    <t>Cálculo da Velocidade de Sedimentação</t>
  </si>
  <si>
    <t>m/d</t>
  </si>
  <si>
    <t>Cálculo da Taxa de Escoamento Virtual</t>
  </si>
  <si>
    <t>qv = Q / Ad</t>
  </si>
  <si>
    <t>qv</t>
  </si>
  <si>
    <t>m3/m2/d</t>
  </si>
  <si>
    <t>Cálculo do Número de Reynolds</t>
  </si>
  <si>
    <t>Dh = 4*Rh</t>
  </si>
  <si>
    <t>Re = (Vh * Dh) / v</t>
  </si>
  <si>
    <t>v</t>
  </si>
  <si>
    <t>OBS: entrada é a vazão, com base no range o output é o W (espessura da garganta da calha)</t>
  </si>
  <si>
    <t>tabela estática, não necessita uma interface pra edita-la, talvez se não for dar muito trabalho no codigo podemos avaliar possibilidade de usar a tabela como uma ajuda de visualização para usuario</t>
  </si>
  <si>
    <t>2 funcionalidade desta aba = input seria o HA (altura da agua na calha) e o output seria Q (vazao)</t>
  </si>
  <si>
    <t>as constantes dessa formula veem da tabela abaixo com base no input de vazao, podemos sugerir o K e o N da tabela abaixo, mas escolha final eh do usuario (em caso de mais de uma opção, usar como sugestão a menor polegada)</t>
  </si>
  <si>
    <t>altura</t>
  </si>
  <si>
    <t>possibilidade ao usuario de importar CSV com diversas alturas para ter o resultado de diversas vazoes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</si>
</sst>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00000"/>
    <numFmt numFmtId="167" formatCode="0.00000"/>
    <numFmt numFmtId="168" formatCode="0.0000"/>
    <numFmt numFmtId="169" formatCode="0.0000000000"/>
  </numFmts>
  <fonts count="21">
    <font>
      <sz val="10"/>
      <color rgb="FF000000"/>
      <name val="Arial"/>
    </font>
    <font>
      <b/>
      <sz val="11"/>
      <color theme="1"/>
      <name val="Arial"/>
    </font>
    <font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sz val="11"/>
      <color rgb="FF000000"/>
      <name val="Inconsolata"/>
    </font>
    <font>
      <sz val="10"/>
      <color rgb="FF000000"/>
      <name val="Arial"/>
    </font>
    <font>
      <b/>
      <sz val="11"/>
      <color rgb="FFFF0000"/>
      <name val="Arial"/>
    </font>
    <font>
      <sz val="10"/>
      <color rgb="FF000000"/>
      <name val="Roboto"/>
    </font>
    <font>
      <b/>
      <i/>
      <sz val="10"/>
      <color rgb="FFFF0000"/>
      <name val="Arial"/>
    </font>
    <font>
      <b/>
      <i/>
      <sz val="10"/>
      <color theme="1"/>
      <name val="Arial"/>
    </font>
    <font>
      <sz val="8"/>
      <color theme="1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sz val="11"/>
      <color rgb="FF727272"/>
      <name val="Oxygen"/>
    </font>
    <font>
      <b/>
      <sz val="10"/>
      <color rgb="FF4D5156"/>
      <name val="Arial"/>
    </font>
    <font>
      <sz val="11"/>
      <color rgb="FF4D5156"/>
      <name val="Arial"/>
    </font>
    <font>
      <b/>
      <sz val="10"/>
      <color rgb="FFFF0000"/>
      <name val="Arial"/>
    </font>
    <font>
      <sz val="11"/>
      <color rgb="FF545454"/>
      <name val="Arial"/>
    </font>
    <font>
      <b/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3" borderId="0" xfId="0" applyFont="1" applyFill="1"/>
    <xf numFmtId="164" fontId="3" fillId="3" borderId="0" xfId="0" applyNumberFormat="1" applyFont="1" applyFill="1"/>
    <xf numFmtId="0" fontId="5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1" fontId="3" fillId="3" borderId="0" xfId="0" applyNumberFormat="1" applyFont="1" applyFill="1"/>
    <xf numFmtId="2" fontId="3" fillId="0" borderId="0" xfId="0" applyNumberFormat="1" applyFont="1" applyAlignment="1">
      <alignment horizontal="center"/>
    </xf>
    <xf numFmtId="1" fontId="3" fillId="3" borderId="0" xfId="0" applyNumberFormat="1" applyFont="1" applyFill="1"/>
    <xf numFmtId="0" fontId="7" fillId="4" borderId="0" xfId="0" applyFont="1" applyFill="1" applyAlignment="1">
      <alignment horizontal="left"/>
    </xf>
    <xf numFmtId="0" fontId="8" fillId="0" borderId="0" xfId="0" applyFont="1" applyAlignment="1"/>
    <xf numFmtId="0" fontId="3" fillId="2" borderId="0" xfId="0" applyFont="1" applyFill="1"/>
    <xf numFmtId="0" fontId="9" fillId="4" borderId="0" xfId="0" applyFont="1" applyFill="1" applyAlignment="1"/>
    <xf numFmtId="2" fontId="3" fillId="2" borderId="0" xfId="0" applyNumberFormat="1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center"/>
    </xf>
    <xf numFmtId="2" fontId="3" fillId="3" borderId="0" xfId="0" applyNumberFormat="1" applyFont="1" applyFill="1"/>
    <xf numFmtId="0" fontId="6" fillId="4" borderId="0" xfId="0" applyFont="1" applyFill="1" applyAlignment="1"/>
    <xf numFmtId="0" fontId="4" fillId="0" borderId="1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0" xfId="0" applyNumberFormat="1" applyFont="1" applyFill="1" applyAlignment="1"/>
    <xf numFmtId="1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9" fillId="3" borderId="0" xfId="0" applyFont="1" applyFill="1"/>
    <xf numFmtId="0" fontId="6" fillId="3" borderId="0" xfId="0" applyFont="1" applyFill="1" applyAlignment="1">
      <alignment horizontal="center"/>
    </xf>
    <xf numFmtId="164" fontId="3" fillId="3" borderId="0" xfId="0" applyNumberFormat="1" applyFont="1" applyFill="1" applyAlignment="1"/>
    <xf numFmtId="0" fontId="3" fillId="5" borderId="0" xfId="0" applyFont="1" applyFill="1"/>
    <xf numFmtId="1" fontId="6" fillId="3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164" fontId="3" fillId="3" borderId="1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" fontId="6" fillId="3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0" xfId="0" applyFont="1" applyFill="1" applyAlignment="1">
      <alignment horizontal="left"/>
    </xf>
    <xf numFmtId="165" fontId="3" fillId="3" borderId="0" xfId="0" applyNumberFormat="1" applyFont="1" applyFill="1"/>
    <xf numFmtId="165" fontId="3" fillId="0" borderId="0" xfId="0" applyNumberFormat="1" applyFont="1"/>
    <xf numFmtId="0" fontId="12" fillId="0" borderId="0" xfId="0" applyFont="1" applyAlignment="1"/>
    <xf numFmtId="0" fontId="7" fillId="4" borderId="0" xfId="0" applyFont="1" applyFill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5" fillId="4" borderId="0" xfId="0" applyFont="1" applyFill="1" applyAlignment="1"/>
    <xf numFmtId="11" fontId="3" fillId="2" borderId="0" xfId="0" applyNumberFormat="1" applyFont="1" applyFill="1" applyAlignment="1"/>
    <xf numFmtId="0" fontId="13" fillId="0" borderId="0" xfId="0" applyFont="1" applyAlignment="1"/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" fontId="4" fillId="0" borderId="0" xfId="0" applyNumberFormat="1" applyFont="1"/>
    <xf numFmtId="2" fontId="6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14" fillId="4" borderId="0" xfId="0" applyFont="1" applyFill="1" applyAlignment="1">
      <alignment horizontal="left"/>
    </xf>
    <xf numFmtId="1" fontId="3" fillId="0" borderId="0" xfId="0" applyNumberFormat="1" applyFont="1" applyAlignment="1">
      <alignment horizontal="center"/>
    </xf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0" fontId="4" fillId="6" borderId="0" xfId="0" applyFont="1" applyFill="1"/>
    <xf numFmtId="0" fontId="3" fillId="6" borderId="0" xfId="0" applyFont="1" applyFill="1"/>
    <xf numFmtId="0" fontId="4" fillId="0" borderId="0" xfId="0" applyFont="1" applyAlignment="1">
      <alignment horizontal="left"/>
    </xf>
    <xf numFmtId="0" fontId="11" fillId="0" borderId="0" xfId="0" applyFont="1" applyAlignment="1"/>
    <xf numFmtId="0" fontId="3" fillId="0" borderId="1" xfId="0" applyFont="1" applyBorder="1" applyAlignment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 applyAlignment="1"/>
    <xf numFmtId="164" fontId="3" fillId="0" borderId="0" xfId="0" applyNumberFormat="1" applyFont="1"/>
    <xf numFmtId="2" fontId="3" fillId="0" borderId="0" xfId="0" applyNumberFormat="1" applyFont="1"/>
    <xf numFmtId="0" fontId="7" fillId="0" borderId="0" xfId="0" applyFont="1" applyAlignment="1"/>
    <xf numFmtId="167" fontId="3" fillId="3" borderId="0" xfId="0" applyNumberFormat="1" applyFont="1" applyFill="1"/>
    <xf numFmtId="0" fontId="17" fillId="4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Alignment="1"/>
    <xf numFmtId="168" fontId="3" fillId="0" borderId="0" xfId="0" applyNumberFormat="1" applyFont="1"/>
    <xf numFmtId="168" fontId="3" fillId="3" borderId="0" xfId="0" applyNumberFormat="1" applyFont="1" applyFill="1"/>
    <xf numFmtId="1" fontId="3" fillId="3" borderId="1" xfId="0" applyNumberFormat="1" applyFont="1" applyFill="1" applyBorder="1"/>
    <xf numFmtId="1" fontId="3" fillId="3" borderId="0" xfId="0" applyNumberFormat="1" applyFont="1" applyFill="1" applyAlignment="1">
      <alignment horizontal="center"/>
    </xf>
    <xf numFmtId="0" fontId="19" fillId="4" borderId="0" xfId="0" applyFont="1" applyFill="1" applyAlignment="1">
      <alignment horizontal="left"/>
    </xf>
    <xf numFmtId="169" fontId="3" fillId="0" borderId="0" xfId="0" applyNumberFormat="1" applyFont="1"/>
    <xf numFmtId="2" fontId="3" fillId="0" borderId="0" xfId="0" applyNumberFormat="1" applyFont="1" applyAlignment="1"/>
    <xf numFmtId="0" fontId="4" fillId="0" borderId="0" xfId="0" applyFont="1" applyAlignment="1">
      <alignment horizontal="left"/>
    </xf>
    <xf numFmtId="0" fontId="20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" fontId="3" fillId="2" borderId="0" xfId="0" applyNumberFormat="1" applyFont="1" applyFill="1" applyAlignment="1"/>
    <xf numFmtId="165" fontId="3" fillId="2" borderId="0" xfId="0" applyNumberFormat="1" applyFont="1" applyFill="1" applyAlignment="1"/>
    <xf numFmtId="0" fontId="3" fillId="0" borderId="0" xfId="0" quotePrefix="1" applyFont="1" applyAlignment="1"/>
    <xf numFmtId="0" fontId="7" fillId="7" borderId="0" xfId="0" applyFont="1" applyFill="1" applyAlignment="1"/>
    <xf numFmtId="0" fontId="3" fillId="0" borderId="0" xfId="0" applyFont="1" applyAlignment="1"/>
    <xf numFmtId="1" fontId="3" fillId="7" borderId="0" xfId="0" applyNumberFormat="1" applyFont="1" applyFill="1"/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0</xdr:rowOff>
    </xdr:from>
    <xdr:ext cx="5019675" cy="3381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7350" y="200025"/>
          <a:ext cx="5019675" cy="33813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18</xdr:row>
      <xdr:rowOff>190500</xdr:rowOff>
    </xdr:from>
    <xdr:ext cx="6038850" cy="370522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39</xdr:row>
      <xdr:rowOff>161925</xdr:rowOff>
    </xdr:from>
    <xdr:ext cx="5972175" cy="426720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77</xdr:row>
      <xdr:rowOff>142875</xdr:rowOff>
    </xdr:from>
    <xdr:ext cx="3724275" cy="3505200"/>
    <xdr:pic>
      <xdr:nvPicPr>
        <xdr:cNvPr id="2" name="image26.pn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76</xdr:row>
      <xdr:rowOff>123825</xdr:rowOff>
    </xdr:from>
    <xdr:ext cx="5467350" cy="4029075"/>
    <xdr:pic>
      <xdr:nvPicPr>
        <xdr:cNvPr id="3" name="image27.png" title="Imagem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266700</xdr:colOff>
      <xdr:row>119</xdr:row>
      <xdr:rowOff>95250</xdr:rowOff>
    </xdr:from>
    <xdr:ext cx="6353175" cy="6819900"/>
    <xdr:pic>
      <xdr:nvPicPr>
        <xdr:cNvPr id="4" name="image28.png" title="Imagem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1</xdr:row>
      <xdr:rowOff>95250</xdr:rowOff>
    </xdr:from>
    <xdr:ext cx="5019675" cy="3381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800100</xdr:colOff>
      <xdr:row>19</xdr:row>
      <xdr:rowOff>76200</xdr:rowOff>
    </xdr:from>
    <xdr:ext cx="6038850" cy="370522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42</xdr:row>
      <xdr:rowOff>200025</xdr:rowOff>
    </xdr:from>
    <xdr:ext cx="5972175" cy="426720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65</xdr:row>
      <xdr:rowOff>95250</xdr:rowOff>
    </xdr:from>
    <xdr:ext cx="9686925" cy="6810375"/>
    <xdr:pic>
      <xdr:nvPicPr>
        <xdr:cNvPr id="5" name="image6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990600</xdr:colOff>
      <xdr:row>100</xdr:row>
      <xdr:rowOff>133350</xdr:rowOff>
    </xdr:from>
    <xdr:ext cx="11991975" cy="4191000"/>
    <xdr:pic>
      <xdr:nvPicPr>
        <xdr:cNvPr id="6" name="image7.png" title="Image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93</xdr:row>
      <xdr:rowOff>66675</xdr:rowOff>
    </xdr:from>
    <xdr:ext cx="7124700" cy="23336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65</xdr:row>
      <xdr:rowOff>57150</xdr:rowOff>
    </xdr:from>
    <xdr:ext cx="8515350" cy="3086100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36</xdr:row>
      <xdr:rowOff>19050</xdr:rowOff>
    </xdr:from>
    <xdr:ext cx="4505325" cy="426720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276225</xdr:colOff>
      <xdr:row>34</xdr:row>
      <xdr:rowOff>28575</xdr:rowOff>
    </xdr:from>
    <xdr:ext cx="7886700" cy="4095750"/>
    <xdr:pic>
      <xdr:nvPicPr>
        <xdr:cNvPr id="4" name="image10.png" title="Image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85725</xdr:colOff>
      <xdr:row>36</xdr:row>
      <xdr:rowOff>19050</xdr:rowOff>
    </xdr:from>
    <xdr:ext cx="2400300" cy="466725"/>
    <xdr:pic>
      <xdr:nvPicPr>
        <xdr:cNvPr id="5" name="image8.png" title="Imagem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56</xdr:row>
      <xdr:rowOff>76200</xdr:rowOff>
    </xdr:from>
    <xdr:ext cx="6219825" cy="3400425"/>
    <xdr:pic>
      <xdr:nvPicPr>
        <xdr:cNvPr id="6" name="image11.png" title="Imagem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61</xdr:row>
      <xdr:rowOff>0</xdr:rowOff>
    </xdr:from>
    <xdr:ext cx="2428875" cy="466725"/>
    <xdr:pic>
      <xdr:nvPicPr>
        <xdr:cNvPr id="7" name="image13.png" title="Imagem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733425</xdr:colOff>
      <xdr:row>75</xdr:row>
      <xdr:rowOff>200025</xdr:rowOff>
    </xdr:from>
    <xdr:ext cx="6981825" cy="3562350"/>
    <xdr:pic>
      <xdr:nvPicPr>
        <xdr:cNvPr id="8" name="image12.png" title="Imagem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962025</xdr:colOff>
      <xdr:row>78</xdr:row>
      <xdr:rowOff>76200</xdr:rowOff>
    </xdr:from>
    <xdr:ext cx="2428875" cy="466725"/>
    <xdr:pic>
      <xdr:nvPicPr>
        <xdr:cNvPr id="9" name="image14.png" title="Imagem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2</xdr:row>
      <xdr:rowOff>66675</xdr:rowOff>
    </xdr:from>
    <xdr:ext cx="5915025" cy="3667125"/>
    <xdr:pic>
      <xdr:nvPicPr>
        <xdr:cNvPr id="2" name="image15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</xdr:row>
      <xdr:rowOff>85725</xdr:rowOff>
    </xdr:from>
    <xdr:ext cx="6867525" cy="3638550"/>
    <xdr:pic>
      <xdr:nvPicPr>
        <xdr:cNvPr id="3" name="image16.png" title="Image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2</xdr:row>
      <xdr:rowOff>85725</xdr:rowOff>
    </xdr:from>
    <xdr:ext cx="8353425" cy="3638550"/>
    <xdr:pic>
      <xdr:nvPicPr>
        <xdr:cNvPr id="4" name="image17.png" title="Imagem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54</xdr:row>
      <xdr:rowOff>76200</xdr:rowOff>
    </xdr:from>
    <xdr:ext cx="5429250" cy="7553325"/>
    <xdr:pic>
      <xdr:nvPicPr>
        <xdr:cNvPr id="2" name="image20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63</xdr:row>
      <xdr:rowOff>38100</xdr:rowOff>
    </xdr:from>
    <xdr:ext cx="1619250" cy="4562475"/>
    <xdr:pic>
      <xdr:nvPicPr>
        <xdr:cNvPr id="2" name="image18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87</xdr:row>
      <xdr:rowOff>95250</xdr:rowOff>
    </xdr:from>
    <xdr:ext cx="3895725" cy="1419225"/>
    <xdr:pic>
      <xdr:nvPicPr>
        <xdr:cNvPr id="3" name="image19.png" title="Imagem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32</xdr:row>
      <xdr:rowOff>47625</xdr:rowOff>
    </xdr:from>
    <xdr:ext cx="5238750" cy="2457450"/>
    <xdr:pic>
      <xdr:nvPicPr>
        <xdr:cNvPr id="4" name="image21.png" title="Imagem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63</xdr:row>
      <xdr:rowOff>38100</xdr:rowOff>
    </xdr:from>
    <xdr:ext cx="1619250" cy="4562475"/>
    <xdr:pic>
      <xdr:nvPicPr>
        <xdr:cNvPr id="2" name="image18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87</xdr:row>
      <xdr:rowOff>95250</xdr:rowOff>
    </xdr:from>
    <xdr:ext cx="3895725" cy="1419225"/>
    <xdr:pic>
      <xdr:nvPicPr>
        <xdr:cNvPr id="3" name="image19.png" title="Imagem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32</xdr:row>
      <xdr:rowOff>85725</xdr:rowOff>
    </xdr:from>
    <xdr:ext cx="5181600" cy="2371725"/>
    <xdr:pic>
      <xdr:nvPicPr>
        <xdr:cNvPr id="4" name="image22.png" title="Imagem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123825</xdr:rowOff>
    </xdr:from>
    <xdr:ext cx="952500" cy="590550"/>
    <xdr:pic>
      <xdr:nvPicPr>
        <xdr:cNvPr id="2" name="image23.pn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20</xdr:row>
      <xdr:rowOff>47625</xdr:rowOff>
    </xdr:from>
    <xdr:ext cx="3933825" cy="4953000"/>
    <xdr:pic>
      <xdr:nvPicPr>
        <xdr:cNvPr id="3" name="image24.png" title="Imagem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47</xdr:row>
      <xdr:rowOff>47625</xdr:rowOff>
    </xdr:from>
    <xdr:ext cx="4057650" cy="2933700"/>
    <xdr:pic>
      <xdr:nvPicPr>
        <xdr:cNvPr id="4" name="image25.png" title="Imagem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I2:U53"/>
  <sheetViews>
    <sheetView tabSelected="1" workbookViewId="0">
      <selection activeCell="J46" sqref="J46"/>
    </sheetView>
  </sheetViews>
  <sheetFormatPr defaultColWidth="14.42578125" defaultRowHeight="15.75" customHeight="1"/>
  <sheetData>
    <row r="2" spans="9:21">
      <c r="I2" s="5" t="s">
        <v>30</v>
      </c>
      <c r="T2" s="16"/>
      <c r="U2" s="3" t="s">
        <v>34</v>
      </c>
    </row>
    <row r="3" spans="9:21">
      <c r="T3" s="6"/>
      <c r="U3" s="3" t="s">
        <v>37</v>
      </c>
    </row>
    <row r="4" spans="9:21">
      <c r="I4" s="3" t="s">
        <v>38</v>
      </c>
      <c r="J4" s="30">
        <v>1</v>
      </c>
      <c r="K4" s="3" t="s">
        <v>43</v>
      </c>
      <c r="L4" s="3" t="s">
        <v>95</v>
      </c>
      <c r="O4" s="4">
        <v>3</v>
      </c>
      <c r="P4" s="3" t="s">
        <v>96</v>
      </c>
      <c r="Q4" s="3" t="s">
        <v>97</v>
      </c>
      <c r="R4" s="6">
        <f>O4*30.48</f>
        <v>91.44</v>
      </c>
      <c r="S4" s="3" t="s">
        <v>98</v>
      </c>
    </row>
    <row r="5" spans="9:21">
      <c r="Q5" s="3" t="s">
        <v>97</v>
      </c>
      <c r="R5" s="4">
        <v>91.5</v>
      </c>
      <c r="S5" s="3" t="s">
        <v>98</v>
      </c>
    </row>
    <row r="7" spans="9:21">
      <c r="I7" s="5" t="s">
        <v>99</v>
      </c>
    </row>
    <row r="9" spans="9:21">
      <c r="I9" s="5" t="s">
        <v>100</v>
      </c>
      <c r="L9" s="104" t="s">
        <v>446</v>
      </c>
    </row>
    <row r="10" spans="9:21" ht="15.75" customHeight="1">
      <c r="L10" t="s">
        <v>447</v>
      </c>
    </row>
    <row r="11" spans="9:21">
      <c r="I11" s="3" t="s">
        <v>101</v>
      </c>
      <c r="L11" t="s">
        <v>449</v>
      </c>
    </row>
    <row r="12" spans="9:21">
      <c r="I12" s="3" t="s">
        <v>102</v>
      </c>
    </row>
    <row r="14" spans="9:21">
      <c r="I14" s="3" t="s">
        <v>103</v>
      </c>
      <c r="J14" s="34" t="e">
        <f ca="1">J16*(POW(J4,J17))</f>
        <v>#NAME?</v>
      </c>
      <c r="K14" s="3" t="s">
        <v>5</v>
      </c>
    </row>
    <row r="16" spans="9:21">
      <c r="I16" s="3" t="s">
        <v>104</v>
      </c>
      <c r="J16" s="4">
        <v>0.60799999999999998</v>
      </c>
    </row>
    <row r="17" spans="9:10">
      <c r="I17" s="3" t="s">
        <v>21</v>
      </c>
      <c r="J17" s="4">
        <v>0.63900000000000001</v>
      </c>
    </row>
    <row r="50" spans="9:9" ht="15.75" customHeight="1">
      <c r="I50" t="s">
        <v>444</v>
      </c>
    </row>
    <row r="51" spans="9:9" ht="15.75" customHeight="1">
      <c r="I51" t="s">
        <v>445</v>
      </c>
    </row>
    <row r="53" spans="9:9">
      <c r="I53" s="3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R82"/>
  <sheetViews>
    <sheetView workbookViewId="0"/>
  </sheetViews>
  <sheetFormatPr defaultColWidth="14.42578125" defaultRowHeight="15.75" customHeight="1"/>
  <cols>
    <col min="9" max="9" width="13.5703125" customWidth="1"/>
    <col min="11" max="11" width="24.42578125" customWidth="1"/>
    <col min="14" max="14" width="22.7109375" customWidth="1"/>
  </cols>
  <sheetData>
    <row r="2" spans="2:8" ht="15.75" customHeight="1">
      <c r="B2" s="1" t="s">
        <v>265</v>
      </c>
    </row>
    <row r="4" spans="2:8">
      <c r="B4" s="5" t="s">
        <v>266</v>
      </c>
    </row>
    <row r="6" spans="2:8">
      <c r="B6" s="3" t="s">
        <v>267</v>
      </c>
      <c r="E6" s="4">
        <v>0.15</v>
      </c>
      <c r="F6" s="54" t="s">
        <v>268</v>
      </c>
    </row>
    <row r="8" spans="2:8">
      <c r="B8" s="3" t="s">
        <v>270</v>
      </c>
    </row>
    <row r="10" spans="2:8">
      <c r="B10" s="3" t="s">
        <v>272</v>
      </c>
      <c r="C10" s="21">
        <f>('MR, CP'!C6/'Decant conv'!E7)/E6</f>
        <v>1.6666666666666667</v>
      </c>
      <c r="D10" s="3" t="s">
        <v>60</v>
      </c>
    </row>
    <row r="12" spans="2:8">
      <c r="B12" s="3" t="s">
        <v>276</v>
      </c>
      <c r="G12" s="4">
        <v>0.1</v>
      </c>
      <c r="H12" s="14" t="s">
        <v>277</v>
      </c>
    </row>
    <row r="14" spans="2:8">
      <c r="B14" s="5" t="s">
        <v>278</v>
      </c>
    </row>
    <row r="16" spans="2:8">
      <c r="B16" s="3" t="s">
        <v>281</v>
      </c>
    </row>
    <row r="18" spans="2:6">
      <c r="B18" s="3" t="s">
        <v>284</v>
      </c>
      <c r="C18" s="13">
        <f>C10/(G12*G12)</f>
        <v>166.66666666666663</v>
      </c>
      <c r="D18" s="3" t="s">
        <v>285</v>
      </c>
    </row>
    <row r="20" spans="2:6">
      <c r="B20" s="5" t="s">
        <v>286</v>
      </c>
    </row>
    <row r="22" spans="2:6">
      <c r="B22" s="5" t="s">
        <v>288</v>
      </c>
    </row>
    <row r="24" spans="2:6">
      <c r="B24" s="3" t="s">
        <v>290</v>
      </c>
    </row>
    <row r="26" spans="2:6">
      <c r="B26" s="3" t="s">
        <v>292</v>
      </c>
      <c r="C26" s="7">
        <f>('Decant conv'!C39*'Decant conv'!E8)/C18</f>
        <v>0.32400000000000007</v>
      </c>
      <c r="D26" s="3" t="s">
        <v>60</v>
      </c>
    </row>
    <row r="28" spans="2:6">
      <c r="B28" s="3" t="s">
        <v>295</v>
      </c>
    </row>
    <row r="30" spans="2:6">
      <c r="B30" s="3" t="s">
        <v>296</v>
      </c>
      <c r="E30" s="7" t="e">
        <f ca="1">POW(C26,(1/2))</f>
        <v>#NAME?</v>
      </c>
      <c r="F30" s="3" t="s">
        <v>5</v>
      </c>
    </row>
    <row r="32" spans="2:6">
      <c r="B32" s="3" t="s">
        <v>299</v>
      </c>
      <c r="C32" s="4">
        <v>0.5</v>
      </c>
      <c r="D32" s="3" t="s">
        <v>5</v>
      </c>
    </row>
    <row r="46" spans="2:4" ht="12.75">
      <c r="B46" s="3" t="s">
        <v>292</v>
      </c>
      <c r="C46" s="7">
        <f>C32*C32</f>
        <v>0.25</v>
      </c>
      <c r="D46" s="3" t="s">
        <v>60</v>
      </c>
    </row>
    <row r="48" spans="2:4" ht="12.75">
      <c r="B48" s="5" t="s">
        <v>307</v>
      </c>
    </row>
    <row r="50" spans="2:11" ht="12.75">
      <c r="B50" s="3" t="s">
        <v>308</v>
      </c>
      <c r="D50" s="46">
        <f>'Decant conv'!E8/C32</f>
        <v>9</v>
      </c>
    </row>
    <row r="51" spans="2:11" ht="12.75">
      <c r="D51" s="47"/>
    </row>
    <row r="52" spans="2:11" ht="12.75">
      <c r="B52" s="3" t="s">
        <v>309</v>
      </c>
      <c r="D52" s="46">
        <f>'Decant conv'!C39/C32</f>
        <v>24</v>
      </c>
    </row>
    <row r="54" spans="2:11" ht="12.75">
      <c r="B54" s="3" t="s">
        <v>311</v>
      </c>
      <c r="D54" s="4">
        <v>9</v>
      </c>
      <c r="E54" s="14" t="s">
        <v>312</v>
      </c>
      <c r="G54" s="4">
        <v>24</v>
      </c>
      <c r="H54" s="3" t="s">
        <v>313</v>
      </c>
      <c r="J54" s="13">
        <f>D54*G54</f>
        <v>216</v>
      </c>
      <c r="K54" s="3" t="s">
        <v>314</v>
      </c>
    </row>
    <row r="56" spans="2:11" ht="12.75">
      <c r="B56" s="5" t="s">
        <v>315</v>
      </c>
    </row>
    <row r="58" spans="2:11" ht="12.75">
      <c r="B58" s="3" t="s">
        <v>316</v>
      </c>
    </row>
    <row r="60" spans="2:11" ht="12.75">
      <c r="B60" s="3" t="s">
        <v>306</v>
      </c>
      <c r="C60" s="7">
        <f>('MR, CP'!C6/'Decant conv'!E7)/(J54*G12*G12)</f>
        <v>0.11574074074074073</v>
      </c>
      <c r="D60" s="3" t="s">
        <v>318</v>
      </c>
    </row>
    <row r="61" spans="2:11" ht="12.75">
      <c r="B61" s="5"/>
    </row>
    <row r="62" spans="2:11" ht="12.75">
      <c r="B62" s="5" t="s">
        <v>319</v>
      </c>
    </row>
    <row r="65" spans="4:18" ht="12.75">
      <c r="D65" s="3" t="s">
        <v>320</v>
      </c>
      <c r="E65" s="46">
        <f>(4*G12*G12)/(2*(G12+G12))</f>
        <v>0.10000000000000002</v>
      </c>
      <c r="F65" s="3" t="s">
        <v>5</v>
      </c>
      <c r="G65" s="4">
        <v>9.9999999999999995E-7</v>
      </c>
      <c r="H65" s="3" t="s">
        <v>323</v>
      </c>
      <c r="I65" s="3" t="s">
        <v>325</v>
      </c>
    </row>
    <row r="67" spans="4:18" ht="12.75">
      <c r="D67" s="3" t="s">
        <v>324</v>
      </c>
      <c r="E67" s="13">
        <f>C60*E65/'Decant conv'!C68</f>
        <v>11574.074074074075</v>
      </c>
      <c r="F67" s="3" t="s">
        <v>97</v>
      </c>
      <c r="G67" s="4">
        <v>11574</v>
      </c>
    </row>
    <row r="69" spans="4:18" ht="12.75">
      <c r="D69" s="3" t="s">
        <v>326</v>
      </c>
      <c r="K69" s="4">
        <v>0.5</v>
      </c>
      <c r="L69" s="3" t="s">
        <v>327</v>
      </c>
    </row>
    <row r="70" spans="4:18" ht="12.75">
      <c r="D70" s="3"/>
    </row>
    <row r="71" spans="4:18" ht="12.75">
      <c r="D71" s="79" t="s">
        <v>328</v>
      </c>
      <c r="E71" s="80" t="e">
        <f ca="1">O81</f>
        <v>#NAME?</v>
      </c>
      <c r="F71" s="82"/>
      <c r="G71" s="83"/>
      <c r="H71" s="82"/>
      <c r="I71" s="83"/>
      <c r="J71" s="82"/>
      <c r="K71" s="83"/>
      <c r="L71" s="82"/>
      <c r="N71" s="3" t="s">
        <v>330</v>
      </c>
      <c r="O71" s="75" t="e">
        <f ca="1">5.74/(POW(G67,0.9))</f>
        <v>#NAME?</v>
      </c>
      <c r="Q71" s="3" t="s">
        <v>330</v>
      </c>
      <c r="R71" s="75" t="e">
        <f ca="1">5.74/(POW(E67,0.9))</f>
        <v>#NAME?</v>
      </c>
    </row>
    <row r="72" spans="4:18" ht="12.75">
      <c r="E72" s="84"/>
    </row>
    <row r="73" spans="4:18" ht="12.75">
      <c r="D73" s="3" t="s">
        <v>331</v>
      </c>
      <c r="E73" s="7">
        <v>3.5000000000000003E-2</v>
      </c>
      <c r="N73" s="3" t="s">
        <v>332</v>
      </c>
      <c r="O73" s="75">
        <f>(K69/1000)/(3.7*E65)</f>
        <v>1.351351351351351E-3</v>
      </c>
      <c r="Q73" s="3" t="s">
        <v>332</v>
      </c>
      <c r="R73" s="75">
        <f>(K69/1000)/(3.7*E65)</f>
        <v>1.351351351351351E-3</v>
      </c>
    </row>
    <row r="74" spans="4:18" ht="12.75">
      <c r="E74" s="84"/>
    </row>
    <row r="75" spans="4:18" ht="12.75">
      <c r="D75" s="3" t="s">
        <v>18</v>
      </c>
      <c r="E75" s="85" t="e">
        <f ca="1">E73*(POW(C60,2))/(E65*2*9.81)</f>
        <v>#NAME?</v>
      </c>
      <c r="F75" s="3" t="s">
        <v>19</v>
      </c>
      <c r="N75" s="3" t="s">
        <v>333</v>
      </c>
      <c r="O75" s="75" t="e">
        <f ca="1">O71+O73</f>
        <v>#NAME?</v>
      </c>
      <c r="Q75" s="3" t="s">
        <v>333</v>
      </c>
      <c r="R75" s="75" t="e">
        <f ca="1">R71+R73</f>
        <v>#NAME?</v>
      </c>
    </row>
    <row r="76" spans="4:18" ht="12.75">
      <c r="E76" s="84"/>
    </row>
    <row r="77" spans="4:18" ht="14.25">
      <c r="D77" s="73" t="s">
        <v>25</v>
      </c>
      <c r="E77" s="86" t="e">
        <f ca="1">SQRT((C60*H77*E75)/H78)</f>
        <v>#NAME?</v>
      </c>
      <c r="G77" s="54" t="s">
        <v>178</v>
      </c>
      <c r="H77" s="4">
        <v>1000</v>
      </c>
      <c r="I77" s="3" t="s">
        <v>179</v>
      </c>
      <c r="J77" s="3" t="s">
        <v>180</v>
      </c>
      <c r="N77" s="3" t="s">
        <v>334</v>
      </c>
      <c r="O77" s="75" t="e">
        <f ca="1">LOG(O75)</f>
        <v>#NAME?</v>
      </c>
      <c r="Q77" s="3" t="s">
        <v>334</v>
      </c>
      <c r="R77" s="75" t="e">
        <f ca="1">LOG(R75)</f>
        <v>#NAME?</v>
      </c>
    </row>
    <row r="78" spans="4:18" ht="12.75">
      <c r="G78" s="14" t="s">
        <v>181</v>
      </c>
      <c r="H78" s="55">
        <v>1E-4</v>
      </c>
      <c r="I78" s="3" t="s">
        <v>182</v>
      </c>
      <c r="J78" s="3" t="s">
        <v>183</v>
      </c>
    </row>
    <row r="79" spans="4:18" ht="12.75">
      <c r="N79" s="3" t="s">
        <v>143</v>
      </c>
      <c r="O79" s="75" t="e">
        <f ca="1">POW(O77,2)</f>
        <v>#NAME?</v>
      </c>
      <c r="Q79" s="3" t="s">
        <v>143</v>
      </c>
      <c r="R79" s="75" t="e">
        <f ca="1">POW(R77,2)</f>
        <v>#NAME?</v>
      </c>
    </row>
    <row r="81" spans="5:18" ht="12.75">
      <c r="E81" s="70" t="e">
        <f ca="1">IF(E77&gt;'Floc, Mec'!C64,"deve recalcular, pois o floculador mecânico trabalha com gradiente menor na última câmara","ok")</f>
        <v>#NAME?</v>
      </c>
      <c r="F81" s="70"/>
      <c r="G81" s="70"/>
      <c r="H81" s="70"/>
      <c r="I81" s="70"/>
      <c r="J81" s="70"/>
      <c r="N81" s="3" t="s">
        <v>336</v>
      </c>
      <c r="O81" s="75" t="e">
        <f ca="1">0.25/O79</f>
        <v>#NAME?</v>
      </c>
      <c r="Q81" s="3" t="s">
        <v>336</v>
      </c>
      <c r="R81" s="75" t="e">
        <f ca="1">0.25/R79</f>
        <v>#NAME?</v>
      </c>
    </row>
    <row r="82" spans="5:18" ht="12.75">
      <c r="E82" s="70" t="e">
        <f ca="1">IF(E77&gt;'Floc, Hid'!I86,"deve recalcular, pois o floculador hidráulico trabalha com gradiente menor na última câmara","ok")</f>
        <v>#NAME?</v>
      </c>
      <c r="F82" s="70"/>
      <c r="G82" s="70"/>
      <c r="H82" s="70"/>
      <c r="I82" s="70"/>
      <c r="J82" s="7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K70"/>
  <sheetViews>
    <sheetView workbookViewId="0"/>
  </sheetViews>
  <sheetFormatPr defaultColWidth="14.42578125" defaultRowHeight="15.75" customHeight="1"/>
  <cols>
    <col min="2" max="2" width="18" customWidth="1"/>
    <col min="3" max="3" width="20.7109375" customWidth="1"/>
    <col min="9" max="9" width="13.5703125" customWidth="1"/>
    <col min="11" max="11" width="24.42578125" customWidth="1"/>
    <col min="14" max="14" width="22.7109375" customWidth="1"/>
  </cols>
  <sheetData>
    <row r="2" spans="2:6" ht="15.75" customHeight="1">
      <c r="B2" s="1" t="s">
        <v>337</v>
      </c>
    </row>
    <row r="4" spans="2:6">
      <c r="B4" s="5" t="s">
        <v>338</v>
      </c>
    </row>
    <row r="6" spans="2:6">
      <c r="B6" s="3" t="s">
        <v>75</v>
      </c>
      <c r="C6" s="4">
        <v>1</v>
      </c>
      <c r="D6" s="3" t="s">
        <v>339</v>
      </c>
      <c r="F6" s="54"/>
    </row>
    <row r="7" spans="2:6">
      <c r="B7" s="3" t="s">
        <v>75</v>
      </c>
      <c r="C7" s="13">
        <f>C6*86400</f>
        <v>86400</v>
      </c>
      <c r="D7" s="3" t="s">
        <v>340</v>
      </c>
    </row>
    <row r="9" spans="2:6">
      <c r="B9" s="3" t="s">
        <v>341</v>
      </c>
      <c r="C9" s="87" t="str">
        <f>IF(C7&gt;10000,"2 unidades ou mais","1 unidade")</f>
        <v>2 unidades ou mais</v>
      </c>
    </row>
    <row r="11" spans="2:6">
      <c r="B11" s="5" t="s">
        <v>342</v>
      </c>
    </row>
    <row r="14" spans="2:6">
      <c r="B14" s="5"/>
    </row>
    <row r="16" spans="2:6">
      <c r="B16" s="3" t="s">
        <v>75</v>
      </c>
      <c r="C16" s="3" t="s">
        <v>343</v>
      </c>
    </row>
    <row r="17" spans="2:3">
      <c r="B17" s="3" t="s">
        <v>16</v>
      </c>
      <c r="C17" s="3" t="s">
        <v>344</v>
      </c>
    </row>
    <row r="18" spans="2:3">
      <c r="B18" s="3" t="s">
        <v>328</v>
      </c>
      <c r="C18" s="3" t="s">
        <v>345</v>
      </c>
    </row>
    <row r="19" spans="2:3">
      <c r="B19" s="3" t="s">
        <v>346</v>
      </c>
      <c r="C19" s="3" t="s">
        <v>347</v>
      </c>
    </row>
    <row r="20" spans="2:3">
      <c r="B20" s="5"/>
    </row>
    <row r="22" spans="2:3">
      <c r="B22" s="5"/>
    </row>
    <row r="47" spans="2:2" ht="12.75">
      <c r="B47" s="5" t="s">
        <v>348</v>
      </c>
    </row>
    <row r="49" spans="2:11" ht="12.75">
      <c r="B49" s="3" t="s">
        <v>346</v>
      </c>
      <c r="C49" s="4">
        <v>40</v>
      </c>
      <c r="D49" s="3" t="s">
        <v>349</v>
      </c>
    </row>
    <row r="51" spans="2:11" ht="12.75">
      <c r="B51" s="3" t="s">
        <v>350</v>
      </c>
      <c r="C51" s="13">
        <f>C7/C49</f>
        <v>2160</v>
      </c>
      <c r="D51" s="3" t="s">
        <v>60</v>
      </c>
    </row>
    <row r="52" spans="2:11" ht="12.75">
      <c r="B52" s="3" t="s">
        <v>351</v>
      </c>
      <c r="C52" s="13">
        <f>(C7/4)/C49</f>
        <v>540</v>
      </c>
      <c r="D52" s="3" t="s">
        <v>60</v>
      </c>
    </row>
    <row r="54" spans="2:11" ht="14.25">
      <c r="B54" s="88" t="s">
        <v>130</v>
      </c>
      <c r="C54" s="4">
        <v>60</v>
      </c>
      <c r="D54" s="3" t="s">
        <v>138</v>
      </c>
    </row>
    <row r="55" spans="2:11" ht="14.25">
      <c r="B55" s="88"/>
      <c r="K55" s="89"/>
    </row>
    <row r="57" spans="2:11" ht="12.75">
      <c r="B57" s="3" t="s">
        <v>71</v>
      </c>
      <c r="C57" s="3">
        <f>D57/E57</f>
        <v>20</v>
      </c>
      <c r="D57" s="3">
        <v>120</v>
      </c>
      <c r="E57" s="3">
        <v>6</v>
      </c>
    </row>
    <row r="58" spans="2:11" ht="12.75">
      <c r="B58" s="3" t="s">
        <v>352</v>
      </c>
      <c r="C58" s="90">
        <v>1</v>
      </c>
    </row>
    <row r="59" spans="2:11" ht="12.75">
      <c r="B59" s="3" t="s">
        <v>352</v>
      </c>
      <c r="C59" s="90">
        <f>4/3</f>
        <v>1.3333333333333333</v>
      </c>
    </row>
    <row r="60" spans="2:11" ht="12.75">
      <c r="B60" s="3" t="s">
        <v>352</v>
      </c>
      <c r="C60" s="90">
        <f>11/8</f>
        <v>1.375</v>
      </c>
    </row>
    <row r="62" spans="2:11" ht="12.75">
      <c r="B62" s="3" t="s">
        <v>354</v>
      </c>
      <c r="C62" s="78">
        <f t="shared" ref="C62:C64" si="0">(SIN($C$54)*((SIN($C$54))+(($C$57)*(COS($C$54)))))/C58</f>
        <v>5.899021356859862</v>
      </c>
    </row>
    <row r="63" spans="2:11" ht="12.75">
      <c r="B63" s="14" t="s">
        <v>358</v>
      </c>
      <c r="C63" s="78">
        <f t="shared" si="0"/>
        <v>4.4242660176448965</v>
      </c>
    </row>
    <row r="64" spans="2:11" ht="12.75">
      <c r="B64" s="3" t="s">
        <v>361</v>
      </c>
      <c r="C64" s="78">
        <f t="shared" si="0"/>
        <v>4.2901973504435356</v>
      </c>
    </row>
    <row r="66" spans="2:8" ht="12.75">
      <c r="B66" s="3" t="s">
        <v>362</v>
      </c>
      <c r="C66" s="13">
        <f t="shared" ref="C66:C68" si="1">$C$7/($C$49*C62)</f>
        <v>366.16243090698026</v>
      </c>
      <c r="D66" s="3" t="s">
        <v>60</v>
      </c>
      <c r="E66" s="3">
        <v>7.5</v>
      </c>
      <c r="F66" s="3">
        <v>10</v>
      </c>
      <c r="G66" s="75">
        <f>F66*E66</f>
        <v>75</v>
      </c>
      <c r="H66" s="75">
        <f>G66*4</f>
        <v>300</v>
      </c>
    </row>
    <row r="67" spans="2:8" ht="12.75">
      <c r="B67" s="3" t="s">
        <v>366</v>
      </c>
      <c r="C67" s="13">
        <f t="shared" si="1"/>
        <v>488.21657454264033</v>
      </c>
      <c r="D67" s="3" t="s">
        <v>60</v>
      </c>
    </row>
    <row r="68" spans="2:8" ht="12.75">
      <c r="B68" s="3" t="s">
        <v>368</v>
      </c>
      <c r="C68" s="13">
        <f t="shared" si="1"/>
        <v>503.47334249709792</v>
      </c>
      <c r="D68" s="3" t="s">
        <v>60</v>
      </c>
    </row>
    <row r="70" spans="2:8" ht="12.75">
      <c r="C70" s="75">
        <f>C66/C51</f>
        <v>0.16951964393841679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IV215"/>
  <sheetViews>
    <sheetView workbookViewId="0"/>
  </sheetViews>
  <sheetFormatPr defaultColWidth="14.42578125" defaultRowHeight="15.75" customHeight="1"/>
  <cols>
    <col min="2" max="2" width="16.42578125" customWidth="1"/>
    <col min="8" max="8" width="15.28515625" customWidth="1"/>
  </cols>
  <sheetData>
    <row r="1" spans="2:256">
      <c r="IV1" s="75">
        <f>0.1</f>
        <v>0.1</v>
      </c>
    </row>
    <row r="2" spans="2:256" ht="15.75" customHeight="1">
      <c r="B2" s="1" t="s">
        <v>353</v>
      </c>
    </row>
    <row r="4" spans="2:256">
      <c r="B4" s="5" t="s">
        <v>29</v>
      </c>
    </row>
    <row r="6" spans="2:256">
      <c r="B6" s="3" t="s">
        <v>226</v>
      </c>
      <c r="E6" s="4">
        <v>40</v>
      </c>
      <c r="F6" s="3" t="s">
        <v>227</v>
      </c>
      <c r="H6" s="3" t="s">
        <v>228</v>
      </c>
    </row>
    <row r="7" spans="2:256">
      <c r="B7" s="3" t="s">
        <v>42</v>
      </c>
      <c r="E7" s="4">
        <v>4</v>
      </c>
      <c r="H7" s="3" t="s">
        <v>229</v>
      </c>
    </row>
    <row r="8" spans="2:256">
      <c r="B8" s="3" t="s">
        <v>41</v>
      </c>
      <c r="E8" s="4">
        <v>4.5</v>
      </c>
      <c r="F8" s="3" t="s">
        <v>5</v>
      </c>
      <c r="H8" s="3" t="s">
        <v>230</v>
      </c>
    </row>
    <row r="9" spans="2:256">
      <c r="B9" s="3" t="s">
        <v>355</v>
      </c>
      <c r="H9" s="66"/>
    </row>
    <row r="10" spans="2:256">
      <c r="B10" s="4">
        <v>1.2</v>
      </c>
      <c r="C10" s="3" t="s">
        <v>5</v>
      </c>
      <c r="D10" s="3" t="s">
        <v>356</v>
      </c>
      <c r="H10" s="66"/>
    </row>
    <row r="11" spans="2:256">
      <c r="B11" s="4">
        <v>6</v>
      </c>
      <c r="C11" s="3" t="s">
        <v>98</v>
      </c>
      <c r="D11" s="3" t="s">
        <v>357</v>
      </c>
      <c r="H11" s="66"/>
    </row>
    <row r="12" spans="2:256">
      <c r="B12" s="4">
        <v>0.5</v>
      </c>
      <c r="C12" s="3" t="s">
        <v>98</v>
      </c>
      <c r="D12" s="3" t="s">
        <v>359</v>
      </c>
      <c r="H12" s="66"/>
    </row>
    <row r="13" spans="2:256">
      <c r="B13" s="4">
        <v>60</v>
      </c>
      <c r="C13" s="3" t="s">
        <v>138</v>
      </c>
      <c r="D13" s="3" t="s">
        <v>360</v>
      </c>
      <c r="H13" s="66"/>
    </row>
    <row r="14" spans="2:256">
      <c r="B14" s="21">
        <f>RADIANS(B13)</f>
        <v>1.0471975511965976</v>
      </c>
      <c r="C14" s="3" t="s">
        <v>363</v>
      </c>
      <c r="D14" s="3" t="s">
        <v>133</v>
      </c>
      <c r="H14" s="66"/>
    </row>
    <row r="15" spans="2:256">
      <c r="H15" s="66"/>
    </row>
    <row r="16" spans="2:256">
      <c r="B16" s="5" t="s">
        <v>364</v>
      </c>
    </row>
    <row r="18" spans="2:7">
      <c r="B18" s="5" t="s">
        <v>365</v>
      </c>
    </row>
    <row r="20" spans="2:7">
      <c r="B20" s="3" t="s">
        <v>71</v>
      </c>
      <c r="C20" s="6">
        <f>(B10*100)/B11</f>
        <v>20</v>
      </c>
    </row>
    <row r="22" spans="2:7">
      <c r="B22" s="5" t="s">
        <v>367</v>
      </c>
      <c r="F22" s="54"/>
    </row>
    <row r="24" spans="2:7">
      <c r="B24" s="91" t="s">
        <v>369</v>
      </c>
    </row>
    <row r="25" spans="2:7">
      <c r="B25" s="91" t="s">
        <v>370</v>
      </c>
    </row>
    <row r="27" spans="2:7">
      <c r="B27" s="68" t="s">
        <v>371</v>
      </c>
      <c r="C27" s="46">
        <f>E6*(C20*COS(B14)+SIN(B14))</f>
        <v>434.64101615137764</v>
      </c>
      <c r="D27" s="3" t="s">
        <v>372</v>
      </c>
    </row>
    <row r="29" spans="2:7">
      <c r="B29" s="5" t="s">
        <v>373</v>
      </c>
    </row>
    <row r="31" spans="2:7">
      <c r="B31" s="57" t="s">
        <v>374</v>
      </c>
      <c r="C31" s="72"/>
      <c r="D31" s="57"/>
      <c r="E31" s="71"/>
      <c r="F31" s="72"/>
      <c r="G31" s="72"/>
    </row>
    <row r="33" spans="2:6">
      <c r="B33" s="3" t="s">
        <v>375</v>
      </c>
      <c r="C33" s="21">
        <f>(('MR, CP'!C6/4)*86400)/C27</f>
        <v>49.696184201072057</v>
      </c>
      <c r="D33" s="3" t="s">
        <v>60</v>
      </c>
    </row>
    <row r="35" spans="2:6">
      <c r="B35" s="5" t="s">
        <v>376</v>
      </c>
    </row>
    <row r="37" spans="2:6">
      <c r="B37" s="5" t="s">
        <v>377</v>
      </c>
    </row>
    <row r="39" spans="2:6" ht="12.75">
      <c r="B39" s="3" t="s">
        <v>378</v>
      </c>
      <c r="C39" s="46">
        <f>C33/(SIN(B14))</f>
        <v>57.38421065237236</v>
      </c>
      <c r="D39" s="3" t="s">
        <v>60</v>
      </c>
    </row>
    <row r="41" spans="2:6" ht="14.25">
      <c r="B41" s="3" t="s">
        <v>379</v>
      </c>
      <c r="E41" s="54"/>
    </row>
    <row r="43" spans="2:6" ht="12.75">
      <c r="B43" s="5" t="s">
        <v>380</v>
      </c>
    </row>
    <row r="45" spans="2:6" ht="12.75">
      <c r="B45" s="3" t="s">
        <v>8</v>
      </c>
      <c r="C45" s="46" t="e">
        <f ca="1">POW(F45,(1/2))</f>
        <v>#NAME?</v>
      </c>
      <c r="D45" s="3" t="s">
        <v>5</v>
      </c>
      <c r="F45" s="77">
        <f>((C39*2)/3)</f>
        <v>38.256140434914904</v>
      </c>
    </row>
    <row r="46" spans="2:6" ht="12.75">
      <c r="B46" s="3" t="s">
        <v>381</v>
      </c>
      <c r="C46" s="4">
        <v>6.5</v>
      </c>
      <c r="D46" s="3" t="s">
        <v>5</v>
      </c>
    </row>
    <row r="48" spans="2:6" ht="12.75">
      <c r="B48" s="5" t="s">
        <v>382</v>
      </c>
    </row>
    <row r="50" spans="2:5" ht="12.75">
      <c r="B50" s="5" t="s">
        <v>383</v>
      </c>
    </row>
    <row r="51" spans="2:5" ht="12.75">
      <c r="B51" s="5" t="s">
        <v>384</v>
      </c>
    </row>
    <row r="52" spans="2:5" ht="12.75">
      <c r="C52" s="78"/>
    </row>
    <row r="53" spans="2:5" ht="12.75">
      <c r="B53" s="3" t="s">
        <v>385</v>
      </c>
      <c r="C53" s="21">
        <f>C33/C46</f>
        <v>7.6455668001649322</v>
      </c>
      <c r="D53" s="3" t="s">
        <v>5</v>
      </c>
    </row>
    <row r="54" spans="2:5" ht="12.75">
      <c r="B54" s="5"/>
    </row>
    <row r="55" spans="2:5" ht="12.75">
      <c r="B55" s="3" t="s">
        <v>386</v>
      </c>
      <c r="C55" s="46">
        <f>(C53/B11)*100</f>
        <v>127.42611333608221</v>
      </c>
    </row>
    <row r="56" spans="2:5" ht="12.75">
      <c r="B56" s="3" t="s">
        <v>387</v>
      </c>
      <c r="C56" s="4">
        <v>128</v>
      </c>
    </row>
    <row r="58" spans="2:5" ht="12.75">
      <c r="B58" s="5" t="s">
        <v>388</v>
      </c>
      <c r="C58" s="77"/>
      <c r="E58" s="14"/>
    </row>
    <row r="60" spans="2:5" ht="12.75">
      <c r="B60" s="5" t="s">
        <v>389</v>
      </c>
    </row>
    <row r="62" spans="2:5" ht="12.75">
      <c r="B62" s="3" t="s">
        <v>390</v>
      </c>
      <c r="C62" s="13">
        <f>C56+1</f>
        <v>129</v>
      </c>
    </row>
    <row r="64" spans="2:5" ht="12.75">
      <c r="B64" s="5" t="s">
        <v>391</v>
      </c>
    </row>
    <row r="66" spans="2:4" ht="12.75">
      <c r="B66" s="5" t="s">
        <v>392</v>
      </c>
    </row>
    <row r="68" spans="2:4" ht="12.75">
      <c r="B68" s="3" t="s">
        <v>393</v>
      </c>
      <c r="C68" s="7">
        <f>(C56*B11+C62*B12)/100</f>
        <v>8.3249999999999993</v>
      </c>
      <c r="D68" s="3" t="s">
        <v>5</v>
      </c>
    </row>
    <row r="70" spans="2:4" ht="12.75">
      <c r="B70" s="5" t="s">
        <v>394</v>
      </c>
    </row>
    <row r="72" spans="2:4" ht="12.75">
      <c r="B72" s="5" t="s">
        <v>395</v>
      </c>
    </row>
    <row r="74" spans="2:4" ht="12.75">
      <c r="B74" s="3" t="s">
        <v>71</v>
      </c>
      <c r="C74" s="7">
        <f>B10*COS(B14)+(C68/SIN(B14))</f>
        <v>10.212881982007268</v>
      </c>
      <c r="D74" s="3" t="s">
        <v>5</v>
      </c>
    </row>
    <row r="76" spans="2:4" ht="12.75">
      <c r="B76" s="5" t="s">
        <v>396</v>
      </c>
    </row>
    <row r="77" spans="2:4" ht="12.75">
      <c r="B77" s="3"/>
    </row>
    <row r="99" spans="2:8" ht="12.75">
      <c r="B99" s="3" t="s">
        <v>397</v>
      </c>
    </row>
    <row r="101" spans="2:8" ht="12.75">
      <c r="B101" s="57" t="s">
        <v>398</v>
      </c>
      <c r="C101" s="57" t="s">
        <v>399</v>
      </c>
      <c r="D101" s="57" t="s">
        <v>400</v>
      </c>
      <c r="E101" s="92" t="s">
        <v>130</v>
      </c>
      <c r="F101" s="57" t="s">
        <v>401</v>
      </c>
      <c r="G101" s="57" t="s">
        <v>402</v>
      </c>
      <c r="H101" s="93" t="s">
        <v>403</v>
      </c>
    </row>
    <row r="102" spans="2:8" ht="12.75">
      <c r="B102" s="18">
        <v>0.5</v>
      </c>
      <c r="C102" s="94">
        <f t="shared" ref="C102:C105" si="0">2*B102+0.5</f>
        <v>1.5</v>
      </c>
      <c r="D102" s="95">
        <f t="shared" ref="D102:D105" si="1">H102</f>
        <v>0.86602540378443837</v>
      </c>
      <c r="E102" s="18">
        <v>60</v>
      </c>
      <c r="F102" s="95">
        <f t="shared" ref="F102:F105" si="2">RADIANS(E102)</f>
        <v>1.0471975511965976</v>
      </c>
      <c r="G102" s="95">
        <f t="shared" ref="G102:G105" si="3">TAN(F102)</f>
        <v>1.7320508075688767</v>
      </c>
      <c r="H102" s="95">
        <f t="shared" ref="H102:H105" si="4">G102*B102</f>
        <v>0.86602540378443837</v>
      </c>
    </row>
    <row r="103" spans="2:8" ht="12.75">
      <c r="B103" s="18">
        <v>1</v>
      </c>
      <c r="C103" s="94">
        <f t="shared" si="0"/>
        <v>2.5</v>
      </c>
      <c r="D103" s="95">
        <f t="shared" si="1"/>
        <v>1.7320508075688767</v>
      </c>
      <c r="E103" s="18">
        <v>60</v>
      </c>
      <c r="F103" s="95">
        <f t="shared" si="2"/>
        <v>1.0471975511965976</v>
      </c>
      <c r="G103" s="95">
        <f t="shared" si="3"/>
        <v>1.7320508075688767</v>
      </c>
      <c r="H103" s="95">
        <f t="shared" si="4"/>
        <v>1.7320508075688767</v>
      </c>
    </row>
    <row r="104" spans="2:8" ht="12.75">
      <c r="B104" s="18">
        <v>1.5</v>
      </c>
      <c r="C104" s="94">
        <f t="shared" si="0"/>
        <v>3.5</v>
      </c>
      <c r="D104" s="95">
        <f t="shared" si="1"/>
        <v>2.5980762113533151</v>
      </c>
      <c r="E104" s="18">
        <v>60</v>
      </c>
      <c r="F104" s="95">
        <f t="shared" si="2"/>
        <v>1.0471975511965976</v>
      </c>
      <c r="G104" s="95">
        <f t="shared" si="3"/>
        <v>1.7320508075688767</v>
      </c>
      <c r="H104" s="95">
        <f t="shared" si="4"/>
        <v>2.5980762113533151</v>
      </c>
    </row>
    <row r="105" spans="2:8" ht="12.75">
      <c r="B105" s="18">
        <v>2</v>
      </c>
      <c r="C105" s="94">
        <f t="shared" si="0"/>
        <v>4.5</v>
      </c>
      <c r="D105" s="95">
        <f t="shared" si="1"/>
        <v>3.4641016151377535</v>
      </c>
      <c r="E105" s="18">
        <v>60</v>
      </c>
      <c r="F105" s="95">
        <f t="shared" si="2"/>
        <v>1.0471975511965976</v>
      </c>
      <c r="G105" s="95">
        <f t="shared" si="3"/>
        <v>1.7320508075688767</v>
      </c>
      <c r="H105" s="95">
        <f t="shared" si="4"/>
        <v>3.4641016151377535</v>
      </c>
    </row>
    <row r="107" spans="2:8" ht="12.75">
      <c r="B107" s="3" t="s">
        <v>404</v>
      </c>
      <c r="F107" s="18">
        <v>2.5</v>
      </c>
      <c r="G107" s="14" t="s">
        <v>405</v>
      </c>
    </row>
    <row r="109" spans="2:8" ht="12.75">
      <c r="B109" s="3" t="s">
        <v>406</v>
      </c>
    </row>
    <row r="111" spans="2:8" ht="12.75">
      <c r="B111" s="3" t="s">
        <v>407</v>
      </c>
      <c r="C111" s="96">
        <f>F107*F107</f>
        <v>6.25</v>
      </c>
      <c r="D111" s="3" t="s">
        <v>60</v>
      </c>
    </row>
    <row r="113" spans="2:3" ht="12.75">
      <c r="B113" s="3" t="s">
        <v>408</v>
      </c>
    </row>
    <row r="115" spans="2:3" ht="12.75">
      <c r="B115" s="5" t="s">
        <v>409</v>
      </c>
    </row>
    <row r="117" spans="2:3" ht="12.75">
      <c r="B117" s="3" t="s">
        <v>410</v>
      </c>
      <c r="C117" s="97">
        <f>(C74*C46)/C111</f>
        <v>10.621397261287559</v>
      </c>
    </row>
    <row r="118" spans="2:3" ht="12.75">
      <c r="B118" s="3" t="s">
        <v>411</v>
      </c>
      <c r="C118" s="98">
        <v>12</v>
      </c>
    </row>
    <row r="157" spans="2:4" ht="12.75">
      <c r="B157" s="3" t="s">
        <v>71</v>
      </c>
      <c r="C157" s="98">
        <v>10</v>
      </c>
      <c r="D157" s="3" t="s">
        <v>5</v>
      </c>
    </row>
    <row r="158" spans="2:4" ht="12.75">
      <c r="B158" s="3" t="s">
        <v>8</v>
      </c>
      <c r="C158" s="99">
        <v>7.5</v>
      </c>
      <c r="D158" s="3" t="s">
        <v>5</v>
      </c>
    </row>
    <row r="160" spans="2:4" ht="12.75">
      <c r="B160" s="5" t="s">
        <v>412</v>
      </c>
    </row>
    <row r="162" spans="2:4" ht="12.75">
      <c r="B162" s="5" t="s">
        <v>394</v>
      </c>
    </row>
    <row r="164" spans="2:4" ht="12.75">
      <c r="B164" s="5" t="s">
        <v>413</v>
      </c>
    </row>
    <row r="166" spans="2:4" ht="12.75">
      <c r="B166" s="5" t="s">
        <v>414</v>
      </c>
    </row>
    <row r="168" spans="2:4" ht="12.75">
      <c r="B168" s="3" t="s">
        <v>415</v>
      </c>
      <c r="C168" s="46">
        <f>C157-(B10*COS(B14))</f>
        <v>9.4</v>
      </c>
      <c r="D168" s="3" t="s">
        <v>5</v>
      </c>
    </row>
    <row r="170" spans="2:4" ht="12.75">
      <c r="B170" s="64" t="s">
        <v>416</v>
      </c>
    </row>
    <row r="172" spans="2:4" ht="12.75">
      <c r="B172" s="3" t="s">
        <v>393</v>
      </c>
      <c r="C172" s="21">
        <f>SIN(B14)*C168</f>
        <v>8.1406387955737234</v>
      </c>
      <c r="D172" s="3" t="s">
        <v>5</v>
      </c>
    </row>
    <row r="174" spans="2:4" ht="12.75">
      <c r="B174" s="5" t="s">
        <v>417</v>
      </c>
    </row>
    <row r="176" spans="2:4" ht="12.75">
      <c r="B176" s="5" t="s">
        <v>392</v>
      </c>
    </row>
    <row r="178" spans="2:9" ht="12.75">
      <c r="B178" s="5" t="s">
        <v>419</v>
      </c>
    </row>
    <row r="180" spans="2:9" ht="12.75">
      <c r="B180" s="21">
        <f>C172*100</f>
        <v>814.06387955737239</v>
      </c>
      <c r="C180" s="3" t="s">
        <v>98</v>
      </c>
    </row>
    <row r="181" spans="2:9" ht="12.75">
      <c r="B181" s="98">
        <v>814</v>
      </c>
      <c r="C181" s="3" t="s">
        <v>98</v>
      </c>
      <c r="D181" s="13">
        <f>(H181*B11)+((H181+1)*B12)</f>
        <v>814.30000000000007</v>
      </c>
      <c r="E181" s="3" t="s">
        <v>98</v>
      </c>
      <c r="G181" s="3" t="s">
        <v>386</v>
      </c>
      <c r="H181" s="101">
        <v>125.2</v>
      </c>
      <c r="I181" s="3" t="s">
        <v>98</v>
      </c>
    </row>
    <row r="182" spans="2:9" ht="12.75">
      <c r="G182" s="3" t="s">
        <v>421</v>
      </c>
      <c r="H182" s="103">
        <f>B181-D181</f>
        <v>-0.30000000000006821</v>
      </c>
      <c r="I182" s="3" t="s">
        <v>422</v>
      </c>
    </row>
    <row r="184" spans="2:9" ht="12.75">
      <c r="B184" s="3" t="s">
        <v>423</v>
      </c>
    </row>
    <row r="186" spans="2:9" ht="12.75">
      <c r="B186" s="3" t="s">
        <v>386</v>
      </c>
      <c r="C186" s="98">
        <f>H181+1</f>
        <v>126.2</v>
      </c>
    </row>
    <row r="187" spans="2:9" ht="12.75">
      <c r="B187" s="3" t="s">
        <v>390</v>
      </c>
      <c r="C187" s="98">
        <f>C186+1</f>
        <v>127.2</v>
      </c>
    </row>
    <row r="189" spans="2:9" ht="12.75">
      <c r="B189" s="5" t="s">
        <v>429</v>
      </c>
    </row>
    <row r="191" spans="2:9" ht="12.75">
      <c r="B191" s="57" t="s">
        <v>430</v>
      </c>
    </row>
    <row r="192" spans="2:9" ht="12.75">
      <c r="B192" s="57" t="s">
        <v>431</v>
      </c>
    </row>
    <row r="193" spans="2:4" ht="12.75">
      <c r="B193" s="57" t="s">
        <v>432</v>
      </c>
    </row>
    <row r="195" spans="2:4" ht="12.75">
      <c r="B195" s="3" t="s">
        <v>371</v>
      </c>
      <c r="C195" s="21">
        <f>((('MR, CP'!C6/4))/(C186*(B11/100)*C158))*100</f>
        <v>0.44021834830075718</v>
      </c>
      <c r="D195" s="3" t="s">
        <v>433</v>
      </c>
    </row>
    <row r="197" spans="2:4" ht="12.75">
      <c r="B197" s="5" t="s">
        <v>434</v>
      </c>
    </row>
    <row r="199" spans="2:4" ht="12.75">
      <c r="B199" s="91" t="s">
        <v>369</v>
      </c>
    </row>
    <row r="201" spans="2:4" ht="12.75">
      <c r="B201" s="3" t="s">
        <v>346</v>
      </c>
      <c r="C201" s="7">
        <f>C195/(C20*(COS(B14))+(SIN(B14)))</f>
        <v>4.0513281714529864E-2</v>
      </c>
      <c r="D201" s="3" t="s">
        <v>433</v>
      </c>
    </row>
    <row r="202" spans="2:4" ht="12.75">
      <c r="B202" s="3" t="s">
        <v>346</v>
      </c>
      <c r="C202" s="46">
        <f>(C201/100)*86400</f>
        <v>35.003475401353803</v>
      </c>
      <c r="D202" s="3" t="s">
        <v>435</v>
      </c>
    </row>
    <row r="204" spans="2:4" ht="12.75">
      <c r="B204" s="5" t="s">
        <v>436</v>
      </c>
    </row>
    <row r="206" spans="2:4" ht="12.75">
      <c r="B206" s="3" t="s">
        <v>437</v>
      </c>
    </row>
    <row r="208" spans="2:4" ht="12.75">
      <c r="B208" s="3" t="s">
        <v>438</v>
      </c>
      <c r="C208" s="13">
        <f>('MR, CP'!C6/4)/(C157*C158)*86400</f>
        <v>288</v>
      </c>
      <c r="D208" s="3" t="s">
        <v>439</v>
      </c>
    </row>
    <row r="210" spans="2:4" ht="12.75">
      <c r="B210" s="5" t="s">
        <v>440</v>
      </c>
    </row>
    <row r="212" spans="2:4" ht="12.75">
      <c r="B212" s="3" t="s">
        <v>441</v>
      </c>
      <c r="C212" s="21">
        <f>(4*C158*(B11/100)/(2*(C158+(B11/100))))</f>
        <v>0.11904761904761904</v>
      </c>
      <c r="D212" s="3" t="s">
        <v>5</v>
      </c>
    </row>
    <row r="214" spans="2:4" ht="12.75">
      <c r="B214" s="3" t="s">
        <v>442</v>
      </c>
      <c r="C214" s="13">
        <f>(C195*C212)/C215</f>
        <v>524.06946226280616</v>
      </c>
    </row>
    <row r="215" spans="2:4" ht="12.75">
      <c r="B215" s="3" t="s">
        <v>443</v>
      </c>
      <c r="C215" s="98">
        <f>100*0.000001</f>
        <v>9.9999999999999991E-5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400C-76F3-4B49-8587-E7D6CF8CE7DA}">
  <dimension ref="A1:A2"/>
  <sheetViews>
    <sheetView workbookViewId="0">
      <selection activeCell="A2" sqref="A2"/>
    </sheetView>
  </sheetViews>
  <sheetFormatPr defaultRowHeight="12.75"/>
  <sheetData>
    <row r="1" spans="1:1">
      <c r="A1" t="s">
        <v>448</v>
      </c>
    </row>
    <row r="2" spans="1:1">
      <c r="A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T1"/>
  <sheetViews>
    <sheetView workbookViewId="0"/>
  </sheetViews>
  <sheetFormatPr defaultColWidth="14.42578125" defaultRowHeight="15.75" customHeight="1"/>
  <sheetData>
    <row r="1" spans="2:20">
      <c r="B1" s="3"/>
      <c r="C1" s="75">
        <f>'Decant laminar, design'!H181</f>
        <v>125.2</v>
      </c>
      <c r="T1" s="75">
        <f>SUM(2,3)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8"/>
  <sheetViews>
    <sheetView workbookViewId="0"/>
  </sheetViews>
  <sheetFormatPr defaultColWidth="14.42578125" defaultRowHeight="15.75" customHeight="1"/>
  <sheetData>
    <row r="1" spans="1:9">
      <c r="A1" s="100" t="s">
        <v>418</v>
      </c>
      <c r="B1" s="75" t="b">
        <f>'Decant laminar, design'!B180 = 'Decant laminar, design'!D181</f>
        <v>0</v>
      </c>
      <c r="C1" s="3" t="b">
        <f>'Decant laminar, design'!B180 &lt;= 'Decant laminar, design'!D181</f>
        <v>1</v>
      </c>
      <c r="D1" s="100" t="s">
        <v>420</v>
      </c>
      <c r="I1" s="102">
        <v>1</v>
      </c>
    </row>
    <row r="2" spans="1:9">
      <c r="A2" s="75" t="e">
        <f>MAX([1]ProductMix_Example!F13)</f>
        <v>#REF!</v>
      </c>
      <c r="B2" s="75" t="b">
        <f>'Decant laminar, design'!H182=0</f>
        <v>0</v>
      </c>
    </row>
    <row r="3" spans="1:9">
      <c r="A3" s="75" t="e">
        <f>[1]ProductMix_Example!B3:D3</f>
        <v>#VALUE!</v>
      </c>
      <c r="B3" s="75">
        <f>'Decant laminar, design'!H181</f>
        <v>125.2</v>
      </c>
    </row>
    <row r="4" spans="1:9">
      <c r="A4" s="100" t="s">
        <v>424</v>
      </c>
      <c r="B4" s="100" t="s">
        <v>425</v>
      </c>
    </row>
    <row r="5" spans="1:9">
      <c r="A5" s="3" t="s">
        <v>426</v>
      </c>
    </row>
    <row r="6" spans="1:9">
      <c r="A6" s="100" t="s">
        <v>427</v>
      </c>
      <c r="B6" s="100" t="s">
        <v>428</v>
      </c>
    </row>
    <row r="7" spans="1:9">
      <c r="A7" s="75" t="e">
        <f>[1]ProductMix_Example!B3:D3 &lt;= 0</f>
        <v>#VALUE!</v>
      </c>
    </row>
    <row r="8" spans="1:9">
      <c r="A8" s="75" t="e">
        <f>[1]ProductMix_Example!F7:F11 &lt;= [1]ProductMix_Example!G7:G11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134"/>
  <sheetViews>
    <sheetView topLeftCell="A105" workbookViewId="0">
      <selection activeCell="E140" sqref="E140"/>
    </sheetView>
  </sheetViews>
  <sheetFormatPr defaultColWidth="14.42578125" defaultRowHeight="15.75" customHeight="1"/>
  <cols>
    <col min="8" max="8" width="18.140625" customWidth="1"/>
  </cols>
  <sheetData>
    <row r="2" spans="2:12" ht="15.75" customHeight="1">
      <c r="B2" s="1" t="s">
        <v>31</v>
      </c>
      <c r="H2" s="16"/>
      <c r="I2" s="3" t="s">
        <v>34</v>
      </c>
    </row>
    <row r="3" spans="2:12">
      <c r="H3" s="6"/>
      <c r="I3" s="3" t="s">
        <v>37</v>
      </c>
    </row>
    <row r="4" spans="2:12">
      <c r="B4" s="5" t="s">
        <v>39</v>
      </c>
    </row>
    <row r="6" spans="2:12">
      <c r="B6" s="3" t="s">
        <v>40</v>
      </c>
      <c r="C6" s="18">
        <v>1</v>
      </c>
      <c r="D6" s="3" t="s">
        <v>43</v>
      </c>
    </row>
    <row r="7" spans="2:12">
      <c r="B7" s="3" t="s">
        <v>44</v>
      </c>
      <c r="C7" s="3" t="s">
        <v>46</v>
      </c>
    </row>
    <row r="8" spans="2:12">
      <c r="B8" s="3" t="s">
        <v>47</v>
      </c>
      <c r="C8" s="3" t="s">
        <v>48</v>
      </c>
    </row>
    <row r="10" spans="2:12">
      <c r="B10" s="5" t="s">
        <v>30</v>
      </c>
    </row>
    <row r="12" spans="2:12">
      <c r="B12" s="3" t="s">
        <v>38</v>
      </c>
      <c r="C12" s="30">
        <f>C6</f>
        <v>1</v>
      </c>
      <c r="D12" s="3" t="s">
        <v>43</v>
      </c>
      <c r="E12" s="3" t="s">
        <v>95</v>
      </c>
      <c r="H12" s="4">
        <v>3</v>
      </c>
      <c r="I12" s="3" t="s">
        <v>96</v>
      </c>
      <c r="J12" s="3" t="s">
        <v>97</v>
      </c>
      <c r="K12" s="6">
        <f>H12*30.48</f>
        <v>91.44</v>
      </c>
      <c r="L12" s="3" t="s">
        <v>98</v>
      </c>
    </row>
    <row r="13" spans="2:12">
      <c r="J13" s="3" t="s">
        <v>97</v>
      </c>
      <c r="K13" s="4">
        <v>91.5</v>
      </c>
      <c r="L13" s="3" t="s">
        <v>98</v>
      </c>
    </row>
    <row r="15" spans="2:12">
      <c r="B15" s="5" t="s">
        <v>99</v>
      </c>
    </row>
    <row r="17" spans="2:19">
      <c r="B17" s="5" t="s">
        <v>100</v>
      </c>
    </row>
    <row r="19" spans="2:19">
      <c r="B19" s="3" t="s">
        <v>101</v>
      </c>
    </row>
    <row r="20" spans="2:19">
      <c r="B20" s="3" t="s">
        <v>102</v>
      </c>
    </row>
    <row r="22" spans="2:19">
      <c r="B22" s="3" t="s">
        <v>103</v>
      </c>
      <c r="C22" s="34" t="e">
        <f ca="1">0.608*(POW(C12,0.639))</f>
        <v>#NAME?</v>
      </c>
      <c r="D22" s="3" t="s">
        <v>5</v>
      </c>
    </row>
    <row r="24" spans="2:19">
      <c r="B24" s="3" t="s">
        <v>104</v>
      </c>
      <c r="C24" s="36">
        <f>'Determinação da Calha Parshall'!J16</f>
        <v>0.60799999999999998</v>
      </c>
    </row>
    <row r="25" spans="2:19">
      <c r="B25" s="3" t="s">
        <v>21</v>
      </c>
      <c r="C25" s="36">
        <f>'Determinação da Calha Parshall'!J17</f>
        <v>0.63900000000000001</v>
      </c>
    </row>
    <row r="27" spans="2:19">
      <c r="B27" s="5" t="s">
        <v>105</v>
      </c>
    </row>
    <row r="29" spans="2:19">
      <c r="B29" s="2" t="s">
        <v>106</v>
      </c>
    </row>
    <row r="31" spans="2:19">
      <c r="B31" s="5" t="s">
        <v>107</v>
      </c>
      <c r="L31" s="37"/>
      <c r="S31" s="37"/>
    </row>
    <row r="33" spans="2:4">
      <c r="B33" s="3" t="s">
        <v>108</v>
      </c>
      <c r="C33" s="6">
        <f>(2/3*(C35-C36))+C36</f>
        <v>135.29999999999998</v>
      </c>
      <c r="D33" s="3" t="s">
        <v>98</v>
      </c>
    </row>
    <row r="35" spans="2:4">
      <c r="B35" s="3" t="s">
        <v>109</v>
      </c>
      <c r="C35" s="39">
        <v>157.19999999999999</v>
      </c>
      <c r="D35" s="3" t="s">
        <v>98</v>
      </c>
    </row>
    <row r="36" spans="2:4">
      <c r="B36" s="3" t="s">
        <v>110</v>
      </c>
      <c r="C36" s="39">
        <v>91.5</v>
      </c>
      <c r="D36" s="3" t="s">
        <v>98</v>
      </c>
    </row>
    <row r="38" spans="2:4" ht="12.75">
      <c r="B38" s="5" t="s">
        <v>111</v>
      </c>
    </row>
    <row r="40" spans="2:4" ht="12.75">
      <c r="B40" s="5" t="s">
        <v>112</v>
      </c>
    </row>
    <row r="42" spans="2:4" ht="12.75">
      <c r="B42" s="3" t="s">
        <v>113</v>
      </c>
      <c r="C42" s="21" t="e">
        <f ca="1">(C12/(C33*C22))*100</f>
        <v>#NAME?</v>
      </c>
      <c r="D42" s="3" t="s">
        <v>3</v>
      </c>
    </row>
    <row r="44" spans="2:4" ht="12.75">
      <c r="B44" s="5" t="s">
        <v>114</v>
      </c>
    </row>
    <row r="46" spans="2:4" ht="12.75">
      <c r="B46" s="2" t="s">
        <v>106</v>
      </c>
    </row>
    <row r="48" spans="2:4" ht="12.75">
      <c r="B48" s="5" t="s">
        <v>115</v>
      </c>
    </row>
    <row r="50" spans="2:11" ht="12.75">
      <c r="B50" s="3" t="s">
        <v>116</v>
      </c>
      <c r="C50" s="7" t="e">
        <f ca="1">C22+(POW(C42,2)/(2*9.81))+C52</f>
        <v>#NAME?</v>
      </c>
      <c r="D50" s="3" t="s">
        <v>5</v>
      </c>
    </row>
    <row r="52" spans="2:11" ht="12.75">
      <c r="B52" s="3" t="s">
        <v>117</v>
      </c>
      <c r="C52" s="4">
        <v>0.22900000000000001</v>
      </c>
    </row>
    <row r="54" spans="2:11" ht="12.75">
      <c r="B54" s="5" t="s">
        <v>118</v>
      </c>
    </row>
    <row r="56" spans="2:11" ht="12.75">
      <c r="B56" s="5" t="s">
        <v>119</v>
      </c>
    </row>
    <row r="58" spans="2:11" ht="14.25">
      <c r="B58" s="3" t="s">
        <v>120</v>
      </c>
      <c r="C58" s="7" t="e">
        <f ca="1">(G58/((C36/100)*K58))*(-1)</f>
        <v>#NAME?</v>
      </c>
      <c r="F58" s="8" t="s">
        <v>121</v>
      </c>
      <c r="G58" s="9">
        <f>9.81*C12</f>
        <v>9.81</v>
      </c>
      <c r="H58" s="8" t="s">
        <v>122</v>
      </c>
      <c r="I58" s="9" t="e">
        <f ca="1">0.67*9.81*C50</f>
        <v>#NAME?</v>
      </c>
      <c r="J58" s="44" t="s">
        <v>124</v>
      </c>
      <c r="K58" s="9" t="e">
        <f ca="1">POW(I58,(3/2))</f>
        <v>#NAME?</v>
      </c>
    </row>
    <row r="59" spans="2:11" ht="12.75">
      <c r="B59" s="3" t="s">
        <v>130</v>
      </c>
      <c r="C59" s="7" t="e">
        <f ca="1">ACOS(C58)</f>
        <v>#NAME?</v>
      </c>
      <c r="D59" s="3" t="s">
        <v>133</v>
      </c>
    </row>
    <row r="60" spans="2:11" ht="12.75">
      <c r="B60" s="3" t="s">
        <v>130</v>
      </c>
      <c r="C60" s="46" t="e">
        <f ca="1">DEGREES(C59)</f>
        <v>#NAME?</v>
      </c>
      <c r="D60" s="3" t="s">
        <v>138</v>
      </c>
    </row>
    <row r="61" spans="2:11" ht="12.75">
      <c r="C61" s="47"/>
    </row>
    <row r="63" spans="2:11" ht="12.75">
      <c r="B63" s="5" t="s">
        <v>142</v>
      </c>
    </row>
    <row r="65" spans="1:11" ht="12.75">
      <c r="B65" s="5" t="s">
        <v>145</v>
      </c>
    </row>
    <row r="67" spans="1:11" ht="14.25">
      <c r="B67" s="3" t="s">
        <v>146</v>
      </c>
      <c r="C67" s="21" t="e">
        <f ca="1">G67*K67</f>
        <v>#NAME?</v>
      </c>
      <c r="D67" s="3" t="s">
        <v>3</v>
      </c>
      <c r="F67" s="8" t="s">
        <v>147</v>
      </c>
      <c r="G67" s="8" t="e">
        <f ca="1">2*(COS(C59/3))</f>
        <v>#NAME?</v>
      </c>
      <c r="H67" s="8" t="s">
        <v>148</v>
      </c>
      <c r="I67" s="44" t="e">
        <f ca="1">(2*9.81*C50)/3</f>
        <v>#NAME?</v>
      </c>
      <c r="J67" s="44" t="s">
        <v>149</v>
      </c>
      <c r="K67" s="9" t="e">
        <f ca="1">POW(I67,1/2)</f>
        <v>#NAME?</v>
      </c>
    </row>
    <row r="69" spans="1:11" ht="12.75">
      <c r="B69" s="5" t="s">
        <v>150</v>
      </c>
    </row>
    <row r="71" spans="1:11" ht="12.75">
      <c r="B71" s="5" t="s">
        <v>151</v>
      </c>
    </row>
    <row r="73" spans="1:11" ht="12.75">
      <c r="A73" s="3" t="s">
        <v>152</v>
      </c>
      <c r="B73" s="5" t="s">
        <v>153</v>
      </c>
    </row>
    <row r="75" spans="1:11" ht="12.75">
      <c r="B75" s="5" t="s">
        <v>154</v>
      </c>
    </row>
    <row r="77" spans="1:11" ht="12.75">
      <c r="B77" s="3" t="s">
        <v>155</v>
      </c>
      <c r="C77" s="7" t="e">
        <f ca="1">C50-((POW(C67,2))/(2*9.81))</f>
        <v>#NAME?</v>
      </c>
      <c r="D77" s="3" t="s">
        <v>5</v>
      </c>
    </row>
    <row r="79" spans="1:11" ht="12.75">
      <c r="B79" s="5" t="s">
        <v>156</v>
      </c>
    </row>
    <row r="81" spans="2:4" ht="12.75">
      <c r="B81" s="5" t="s">
        <v>157</v>
      </c>
    </row>
    <row r="83" spans="2:4" ht="12.75">
      <c r="B83" s="3" t="s">
        <v>158</v>
      </c>
      <c r="C83" s="21" t="e">
        <f ca="1">C67/(SQRT(9.81*C77))</f>
        <v>#NAME?</v>
      </c>
    </row>
    <row r="85" spans="2:4" ht="12.75">
      <c r="B85" s="5" t="s">
        <v>159</v>
      </c>
    </row>
    <row r="87" spans="2:4" ht="12.75">
      <c r="B87" s="5" t="s">
        <v>160</v>
      </c>
    </row>
    <row r="89" spans="2:4" ht="12.75">
      <c r="B89" s="3" t="s">
        <v>161</v>
      </c>
      <c r="C89" s="7" t="e">
        <f ca="1">C77/2*(SQRT(1+8*(POW(C83,2)))-1)</f>
        <v>#NAME?</v>
      </c>
      <c r="D89" s="3" t="s">
        <v>5</v>
      </c>
    </row>
    <row r="91" spans="2:4" ht="12.75">
      <c r="B91" s="5" t="s">
        <v>163</v>
      </c>
    </row>
    <row r="93" spans="2:4" ht="12.75">
      <c r="B93" s="2" t="s">
        <v>106</v>
      </c>
    </row>
    <row r="95" spans="2:4" ht="12.75">
      <c r="B95" s="5" t="s">
        <v>164</v>
      </c>
    </row>
    <row r="97" spans="2:4" ht="12.75">
      <c r="B97" s="3" t="s">
        <v>165</v>
      </c>
      <c r="C97" s="7" t="e">
        <f ca="1">C89-C52+C99</f>
        <v>#NAME?</v>
      </c>
      <c r="D97" s="3" t="s">
        <v>5</v>
      </c>
    </row>
    <row r="99" spans="2:4" ht="12.75">
      <c r="B99" s="3" t="s">
        <v>166</v>
      </c>
      <c r="C99" s="4">
        <f>7.6/100</f>
        <v>7.5999999999999998E-2</v>
      </c>
    </row>
    <row r="101" spans="2:4" ht="12.75">
      <c r="B101" s="5" t="s">
        <v>167</v>
      </c>
    </row>
    <row r="103" spans="2:4" ht="12.75">
      <c r="B103" s="5" t="s">
        <v>168</v>
      </c>
    </row>
    <row r="105" spans="2:4" ht="12.75">
      <c r="B105" s="3" t="s">
        <v>169</v>
      </c>
      <c r="C105" s="21" t="e">
        <f ca="1">C12/(C97*(122/100))</f>
        <v>#NAME?</v>
      </c>
      <c r="D105" s="3" t="s">
        <v>3</v>
      </c>
    </row>
    <row r="107" spans="2:4" ht="12.75">
      <c r="B107" s="5" t="s">
        <v>170</v>
      </c>
    </row>
    <row r="109" spans="2:4" ht="12.75">
      <c r="B109" s="5" t="s">
        <v>171</v>
      </c>
    </row>
    <row r="111" spans="2:4" ht="12.75">
      <c r="B111" s="5" t="s">
        <v>172</v>
      </c>
    </row>
    <row r="113" spans="2:4" ht="12.75">
      <c r="B113" s="3" t="s">
        <v>173</v>
      </c>
      <c r="C113" s="7" t="e">
        <f ca="1">(C22+C52)-C89</f>
        <v>#NAME?</v>
      </c>
      <c r="D113" s="3" t="s">
        <v>5</v>
      </c>
    </row>
    <row r="115" spans="2:4" ht="12.75">
      <c r="B115" s="5" t="s">
        <v>174</v>
      </c>
    </row>
    <row r="117" spans="2:4" ht="12.75">
      <c r="B117" s="2" t="s">
        <v>106</v>
      </c>
    </row>
    <row r="119" spans="2:4" ht="12.75">
      <c r="B119" s="5" t="s">
        <v>175</v>
      </c>
    </row>
    <row r="121" spans="2:4" ht="12.75">
      <c r="B121" s="14" t="s">
        <v>77</v>
      </c>
      <c r="C121" s="21" t="e">
        <f ca="1">(C123/100)/((C67+C105)/2)</f>
        <v>#NAME?</v>
      </c>
      <c r="D121" s="3" t="s">
        <v>176</v>
      </c>
    </row>
    <row r="123" spans="2:4" ht="12.75">
      <c r="B123" s="3" t="s">
        <v>25</v>
      </c>
      <c r="C123" s="4">
        <v>91.5</v>
      </c>
      <c r="D123" s="3" t="s">
        <v>98</v>
      </c>
    </row>
    <row r="125" spans="2:4" ht="12.75">
      <c r="B125" s="5" t="s">
        <v>23</v>
      </c>
    </row>
    <row r="127" spans="2:4" ht="12.75">
      <c r="B127" s="5" t="s">
        <v>134</v>
      </c>
    </row>
    <row r="129" spans="2:5" ht="12.75">
      <c r="B129" s="2" t="s">
        <v>177</v>
      </c>
    </row>
    <row r="131" spans="2:5" ht="12.75">
      <c r="B131" s="3" t="s">
        <v>25</v>
      </c>
      <c r="C131" s="21" t="e">
        <f ca="1">SQRT((C133*C113)/(C134*C121))</f>
        <v>#NAME?</v>
      </c>
      <c r="D131" s="3" t="s">
        <v>26</v>
      </c>
    </row>
    <row r="133" spans="2:5" ht="14.25">
      <c r="B133" s="54" t="s">
        <v>178</v>
      </c>
      <c r="C133" s="4">
        <v>998.2</v>
      </c>
      <c r="D133" s="3" t="s">
        <v>179</v>
      </c>
      <c r="E133" s="3" t="s">
        <v>180</v>
      </c>
    </row>
    <row r="134" spans="2:5" ht="12.75">
      <c r="B134" s="14" t="s">
        <v>181</v>
      </c>
      <c r="C134" s="55">
        <v>1.17E-4</v>
      </c>
      <c r="D134" s="3" t="s">
        <v>182</v>
      </c>
      <c r="E134" s="3" t="s">
        <v>183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M71"/>
  <sheetViews>
    <sheetView workbookViewId="0"/>
  </sheetViews>
  <sheetFormatPr defaultColWidth="14.42578125" defaultRowHeight="15.75" customHeight="1"/>
  <cols>
    <col min="2" max="2" width="15.5703125" customWidth="1"/>
  </cols>
  <sheetData>
    <row r="2" spans="2:5" ht="15.75" customHeight="1">
      <c r="B2" s="1" t="s">
        <v>0</v>
      </c>
    </row>
    <row r="4" spans="2:5">
      <c r="B4" s="2" t="s">
        <v>1</v>
      </c>
    </row>
    <row r="6" spans="2:5">
      <c r="B6" s="3" t="s">
        <v>2</v>
      </c>
      <c r="D6" s="4">
        <v>1</v>
      </c>
      <c r="E6" s="3" t="s">
        <v>3</v>
      </c>
    </row>
    <row r="7" spans="2:5">
      <c r="B7" s="3" t="s">
        <v>4</v>
      </c>
      <c r="D7" s="4">
        <v>0.8</v>
      </c>
      <c r="E7" s="3" t="s">
        <v>5</v>
      </c>
    </row>
    <row r="9" spans="2:5">
      <c r="B9" s="5" t="s">
        <v>6</v>
      </c>
    </row>
    <row r="11" spans="2:5">
      <c r="B11" s="5" t="s">
        <v>7</v>
      </c>
    </row>
    <row r="13" spans="2:5">
      <c r="B13" s="3" t="s">
        <v>8</v>
      </c>
      <c r="C13" s="6">
        <f>'MR, CP'!C12/(D6*D7)</f>
        <v>1.25</v>
      </c>
      <c r="D13" s="3" t="s">
        <v>5</v>
      </c>
    </row>
    <row r="15" spans="2:5">
      <c r="B15" s="5" t="s">
        <v>9</v>
      </c>
    </row>
    <row r="17" spans="2:13">
      <c r="B17" s="5" t="s">
        <v>10</v>
      </c>
    </row>
    <row r="19" spans="2:13">
      <c r="B19" s="3" t="s">
        <v>11</v>
      </c>
      <c r="C19" s="7">
        <f>(C13*D7)/(C13+(2*D7))</f>
        <v>0.35087719298245612</v>
      </c>
      <c r="D19" s="3" t="s">
        <v>5</v>
      </c>
    </row>
    <row r="21" spans="2:13">
      <c r="B21" s="5" t="s">
        <v>12</v>
      </c>
    </row>
    <row r="23" spans="2:13">
      <c r="B23" s="5" t="s">
        <v>13</v>
      </c>
    </row>
    <row r="25" spans="2:13">
      <c r="B25" s="5" t="s">
        <v>14</v>
      </c>
      <c r="F25" s="8" t="s">
        <v>15</v>
      </c>
      <c r="G25" s="9">
        <f>'MR, CP'!C12*C29</f>
        <v>1.2999999999999999E-2</v>
      </c>
      <c r="H25" s="10" t="s">
        <v>16</v>
      </c>
      <c r="I25" s="9">
        <f>C13*D7</f>
        <v>1</v>
      </c>
      <c r="J25" s="10" t="s">
        <v>17</v>
      </c>
      <c r="K25" s="9" t="e">
        <f ca="1">POW(C19,(2/3))</f>
        <v>#NAME?</v>
      </c>
      <c r="L25" s="10"/>
      <c r="M25" s="9"/>
    </row>
    <row r="27" spans="2:13">
      <c r="B27" s="3" t="s">
        <v>18</v>
      </c>
      <c r="C27" s="11" t="e">
        <f ca="1">POW(G27,2)</f>
        <v>#NAME?</v>
      </c>
      <c r="D27" s="3" t="s">
        <v>19</v>
      </c>
      <c r="F27" s="8" t="s">
        <v>20</v>
      </c>
      <c r="G27" s="12" t="e">
        <f ca="1">G25/(I25*K25)</f>
        <v>#NAME?</v>
      </c>
    </row>
    <row r="29" spans="2:13">
      <c r="B29" s="3" t="s">
        <v>21</v>
      </c>
      <c r="C29" s="4">
        <v>1.2999999999999999E-2</v>
      </c>
      <c r="D29" s="3" t="s">
        <v>22</v>
      </c>
    </row>
    <row r="31" spans="2:13">
      <c r="B31" s="5" t="s">
        <v>23</v>
      </c>
    </row>
    <row r="33" spans="2:5">
      <c r="B33" s="5" t="s">
        <v>24</v>
      </c>
    </row>
    <row r="35" spans="2:5">
      <c r="B35" s="3" t="s">
        <v>25</v>
      </c>
      <c r="C35" s="13" t="e">
        <f ca="1">SQRT((D6*'MR, CP'!C133*C27)/'MR, CP'!C134)</f>
        <v>#NAME?</v>
      </c>
      <c r="D35" s="3" t="s">
        <v>26</v>
      </c>
    </row>
    <row r="37" spans="2:5">
      <c r="B37" s="14"/>
    </row>
    <row r="38" spans="2:5" ht="15">
      <c r="B38" s="15" t="s">
        <v>27</v>
      </c>
    </row>
    <row r="40" spans="2:5" ht="12.75">
      <c r="B40" s="2" t="s">
        <v>1</v>
      </c>
    </row>
    <row r="42" spans="2:5" ht="12.75">
      <c r="B42" s="3" t="s">
        <v>2</v>
      </c>
      <c r="D42" s="4">
        <v>1.25</v>
      </c>
      <c r="E42" s="3" t="s">
        <v>3</v>
      </c>
    </row>
    <row r="43" spans="2:5" ht="12.75">
      <c r="B43" s="3" t="s">
        <v>4</v>
      </c>
      <c r="D43" s="4">
        <v>0.8</v>
      </c>
      <c r="E43" s="3" t="s">
        <v>5</v>
      </c>
    </row>
    <row r="45" spans="2:5" ht="12.75">
      <c r="B45" s="5" t="s">
        <v>6</v>
      </c>
    </row>
    <row r="47" spans="2:5" ht="12.75">
      <c r="B47" s="5" t="s">
        <v>7</v>
      </c>
    </row>
    <row r="49" spans="2:11" ht="12.75">
      <c r="B49" s="3" t="s">
        <v>8</v>
      </c>
      <c r="C49" s="6">
        <f>'MR, CP'!C12/(D42*D43)</f>
        <v>1</v>
      </c>
      <c r="D49" s="3" t="s">
        <v>5</v>
      </c>
    </row>
    <row r="51" spans="2:11" ht="12.75">
      <c r="B51" s="5" t="s">
        <v>9</v>
      </c>
    </row>
    <row r="53" spans="2:11" ht="12.75">
      <c r="B53" s="5" t="s">
        <v>10</v>
      </c>
    </row>
    <row r="55" spans="2:11" ht="12.75">
      <c r="B55" s="3" t="s">
        <v>11</v>
      </c>
      <c r="C55" s="7">
        <f>(C49*D43)/(C49+(2*D43))</f>
        <v>0.30769230769230771</v>
      </c>
      <c r="D55" s="3" t="s">
        <v>5</v>
      </c>
    </row>
    <row r="57" spans="2:11" ht="12.75">
      <c r="B57" s="5" t="s">
        <v>12</v>
      </c>
    </row>
    <row r="59" spans="2:11" ht="12.75">
      <c r="B59" s="5" t="s">
        <v>13</v>
      </c>
    </row>
    <row r="61" spans="2:11" ht="14.25">
      <c r="B61" s="5" t="s">
        <v>14</v>
      </c>
      <c r="F61" s="8" t="s">
        <v>15</v>
      </c>
      <c r="G61" s="9">
        <f>'MR, CP'!C12*C65</f>
        <v>1.2999999999999999E-2</v>
      </c>
      <c r="H61" s="10" t="s">
        <v>16</v>
      </c>
      <c r="I61" s="9">
        <f>C49*D43</f>
        <v>0.8</v>
      </c>
      <c r="J61" s="10" t="s">
        <v>17</v>
      </c>
      <c r="K61" s="9" t="e">
        <f ca="1">POW(C55,(2/3))</f>
        <v>#NAME?</v>
      </c>
    </row>
    <row r="63" spans="2:11" ht="14.25">
      <c r="B63" s="3" t="s">
        <v>18</v>
      </c>
      <c r="C63" s="11" t="e">
        <f ca="1">POW(G63,2)</f>
        <v>#NAME?</v>
      </c>
      <c r="D63" s="3" t="s">
        <v>19</v>
      </c>
      <c r="F63" s="8" t="s">
        <v>20</v>
      </c>
      <c r="G63" s="12" t="e">
        <f ca="1">G61/(I61*K61)</f>
        <v>#NAME?</v>
      </c>
    </row>
    <row r="65" spans="2:4" ht="12.75">
      <c r="B65" s="3" t="s">
        <v>21</v>
      </c>
      <c r="C65" s="4">
        <v>1.2999999999999999E-2</v>
      </c>
      <c r="D65" s="3" t="s">
        <v>22</v>
      </c>
    </row>
    <row r="67" spans="2:4" ht="12.75">
      <c r="B67" s="5" t="s">
        <v>23</v>
      </c>
    </row>
    <row r="69" spans="2:4" ht="12.75">
      <c r="B69" s="5" t="s">
        <v>24</v>
      </c>
    </row>
    <row r="71" spans="2:4" ht="12.75">
      <c r="B71" s="3" t="s">
        <v>25</v>
      </c>
      <c r="C71" s="13" t="e">
        <f ca="1">SQRT((D42*'MR, CP'!C133*C63)/'MR, CP'!C134)</f>
        <v>#NAME?</v>
      </c>
      <c r="D71" s="3" t="s">
        <v>26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O92"/>
  <sheetViews>
    <sheetView workbookViewId="0"/>
  </sheetViews>
  <sheetFormatPr defaultColWidth="14.42578125" defaultRowHeight="15.75" customHeight="1"/>
  <cols>
    <col min="9" max="9" width="14.42578125" customWidth="1"/>
    <col min="10" max="10" width="15.7109375" customWidth="1"/>
    <col min="11" max="11" width="21.42578125" customWidth="1"/>
    <col min="12" max="12" width="14" customWidth="1"/>
    <col min="13" max="13" width="16.140625" customWidth="1"/>
  </cols>
  <sheetData>
    <row r="2" spans="2:14" ht="15.75" customHeight="1">
      <c r="B2" s="1" t="s">
        <v>28</v>
      </c>
    </row>
    <row r="4" spans="2:14">
      <c r="B4" s="5" t="s">
        <v>29</v>
      </c>
    </row>
    <row r="6" spans="2:14">
      <c r="B6" s="3" t="s">
        <v>32</v>
      </c>
      <c r="D6" s="4">
        <v>30</v>
      </c>
      <c r="E6" s="3" t="s">
        <v>33</v>
      </c>
    </row>
    <row r="7" spans="2:14">
      <c r="B7" s="3" t="s">
        <v>35</v>
      </c>
      <c r="E7" s="4">
        <v>3</v>
      </c>
      <c r="F7" s="17" t="s">
        <v>36</v>
      </c>
      <c r="I7" s="4">
        <v>70</v>
      </c>
      <c r="J7" s="3" t="s">
        <v>26</v>
      </c>
      <c r="K7" s="4">
        <v>50</v>
      </c>
      <c r="L7" s="3" t="s">
        <v>26</v>
      </c>
      <c r="M7" s="4">
        <v>20</v>
      </c>
      <c r="N7" s="3" t="s">
        <v>26</v>
      </c>
    </row>
    <row r="8" spans="2:14">
      <c r="B8" s="3" t="s">
        <v>41</v>
      </c>
      <c r="D8" s="4">
        <v>4.5</v>
      </c>
      <c r="E8" s="3" t="s">
        <v>5</v>
      </c>
    </row>
    <row r="9" spans="2:14">
      <c r="B9" s="3" t="s">
        <v>42</v>
      </c>
      <c r="D9" s="19">
        <v>4</v>
      </c>
      <c r="E9" s="20" t="s">
        <v>45</v>
      </c>
      <c r="F9" s="3" t="s">
        <v>49</v>
      </c>
      <c r="H9" s="6">
        <f>D9</f>
        <v>4</v>
      </c>
      <c r="I9" s="20" t="s">
        <v>45</v>
      </c>
      <c r="J9" s="3" t="s">
        <v>50</v>
      </c>
      <c r="K9" s="6">
        <f>'MR, CP'!C6/H9</f>
        <v>0.25</v>
      </c>
      <c r="L9" s="3" t="s">
        <v>43</v>
      </c>
    </row>
    <row r="10" spans="2:14">
      <c r="B10" s="3" t="s">
        <v>51</v>
      </c>
      <c r="D10" s="4">
        <v>12</v>
      </c>
      <c r="E10" s="3" t="s">
        <v>5</v>
      </c>
    </row>
    <row r="11" spans="2:14">
      <c r="B11" s="3" t="s">
        <v>52</v>
      </c>
    </row>
    <row r="13" spans="2:14">
      <c r="B13" s="5" t="s">
        <v>53</v>
      </c>
    </row>
    <row r="15" spans="2:14">
      <c r="B15" s="5" t="s">
        <v>54</v>
      </c>
    </row>
    <row r="17" spans="2:4">
      <c r="B17" s="3" t="s">
        <v>55</v>
      </c>
      <c r="C17" s="6">
        <f>'MR, CP'!C12/D9*(D6*60)</f>
        <v>450</v>
      </c>
      <c r="D17" s="3" t="s">
        <v>56</v>
      </c>
    </row>
    <row r="19" spans="2:4">
      <c r="B19" s="5" t="s">
        <v>57</v>
      </c>
    </row>
    <row r="21" spans="2:4">
      <c r="B21" s="5" t="s">
        <v>58</v>
      </c>
    </row>
    <row r="23" spans="2:4">
      <c r="B23" s="3" t="s">
        <v>59</v>
      </c>
      <c r="C23" s="6">
        <f>C17/D8</f>
        <v>100</v>
      </c>
      <c r="D23" s="3" t="s">
        <v>60</v>
      </c>
    </row>
    <row r="25" spans="2:4">
      <c r="B25" s="5" t="s">
        <v>61</v>
      </c>
    </row>
    <row r="27" spans="2:4">
      <c r="B27" s="5" t="s">
        <v>62</v>
      </c>
    </row>
    <row r="29" spans="2:4">
      <c r="B29" s="3" t="s">
        <v>63</v>
      </c>
      <c r="C29" s="21">
        <f>C23/D10</f>
        <v>8.3333333333333339</v>
      </c>
      <c r="D29" s="3" t="s">
        <v>5</v>
      </c>
    </row>
    <row r="31" spans="2:4">
      <c r="B31" s="3" t="s">
        <v>64</v>
      </c>
      <c r="C31" s="4">
        <v>8.4</v>
      </c>
      <c r="D31" s="3" t="s">
        <v>5</v>
      </c>
    </row>
    <row r="33" spans="2:6">
      <c r="B33" s="2" t="s">
        <v>65</v>
      </c>
      <c r="E33" s="6">
        <f>C31/E7</f>
        <v>2.8000000000000003</v>
      </c>
      <c r="F33" s="3" t="s">
        <v>5</v>
      </c>
    </row>
    <row r="35" spans="2:6">
      <c r="B35" s="5" t="s">
        <v>66</v>
      </c>
    </row>
    <row r="37" spans="2:6">
      <c r="B37" s="5" t="s">
        <v>67</v>
      </c>
    </row>
    <row r="39" spans="2:6" ht="12.75">
      <c r="B39" s="3" t="s">
        <v>21</v>
      </c>
      <c r="C39" s="3" t="s">
        <v>68</v>
      </c>
    </row>
    <row r="40" spans="2:6" ht="12.75">
      <c r="B40" s="3" t="s">
        <v>69</v>
      </c>
      <c r="C40" s="3" t="s">
        <v>70</v>
      </c>
    </row>
    <row r="41" spans="2:6" ht="12.75">
      <c r="B41" s="3" t="s">
        <v>71</v>
      </c>
      <c r="C41" s="3" t="s">
        <v>72</v>
      </c>
    </row>
    <row r="42" spans="2:6" ht="12.75">
      <c r="B42" s="3" t="s">
        <v>73</v>
      </c>
      <c r="C42" s="3" t="s">
        <v>74</v>
      </c>
    </row>
    <row r="43" spans="2:6" ht="12.75">
      <c r="B43" s="3" t="s">
        <v>75</v>
      </c>
      <c r="C43" s="3" t="s">
        <v>76</v>
      </c>
    </row>
    <row r="44" spans="2:6" ht="14.25">
      <c r="B44" s="22" t="s">
        <v>77</v>
      </c>
      <c r="C44" s="3" t="s">
        <v>78</v>
      </c>
    </row>
    <row r="46" spans="2:6" ht="12.75">
      <c r="B46" s="5" t="s">
        <v>79</v>
      </c>
    </row>
    <row r="48" spans="2:6" ht="12.75">
      <c r="B48" s="5" t="s">
        <v>80</v>
      </c>
    </row>
    <row r="50" spans="2:14" ht="12.75">
      <c r="B50" s="5" t="s">
        <v>81</v>
      </c>
    </row>
    <row r="52" spans="2:14" ht="12.75">
      <c r="B52" s="5" t="s">
        <v>82</v>
      </c>
    </row>
    <row r="54" spans="2:14" ht="12.75">
      <c r="B54" s="5" t="s">
        <v>83</v>
      </c>
    </row>
    <row r="56" spans="2:14" ht="14.25">
      <c r="B56" s="23" t="s">
        <v>84</v>
      </c>
      <c r="C56" s="23" t="s">
        <v>85</v>
      </c>
      <c r="D56" s="23" t="s">
        <v>21</v>
      </c>
      <c r="E56" s="23" t="s">
        <v>86</v>
      </c>
      <c r="F56" s="23" t="s">
        <v>87</v>
      </c>
      <c r="G56" s="23" t="s">
        <v>88</v>
      </c>
      <c r="I56" s="24" t="s">
        <v>89</v>
      </c>
      <c r="J56" s="25" t="s">
        <v>90</v>
      </c>
      <c r="K56" s="26" t="s">
        <v>91</v>
      </c>
      <c r="L56" s="26" t="s">
        <v>92</v>
      </c>
      <c r="M56" s="26" t="s">
        <v>93</v>
      </c>
      <c r="N56" s="27" t="s">
        <v>94</v>
      </c>
    </row>
    <row r="57" spans="2:14" ht="14.25">
      <c r="B57" s="28">
        <v>1</v>
      </c>
      <c r="C57" s="29">
        <f>I7</f>
        <v>70</v>
      </c>
      <c r="D57" s="31" t="e">
        <f t="shared" ref="D57:D59" ca="1" si="0">N57</f>
        <v>#NAME?</v>
      </c>
      <c r="E57" s="32" t="e">
        <f t="shared" ref="E57:E59" ca="1" si="1">$D$10/D57</f>
        <v>#NAME?</v>
      </c>
      <c r="F57" s="32" t="e">
        <f ca="1">('MR, CP'!C12/4)/($E$33*E57)</f>
        <v>#NAME?</v>
      </c>
      <c r="G57" s="32" t="e">
        <f t="shared" ref="G57:G59" ca="1" si="2">F57*(2/3)</f>
        <v>#NAME?</v>
      </c>
      <c r="I57" s="33">
        <f t="shared" ref="I57:I59" si="3">$E$33*$D$10*C57</f>
        <v>2352</v>
      </c>
      <c r="J57" s="35">
        <f>I57/('MR, CP'!C12/4)</f>
        <v>9408</v>
      </c>
      <c r="K57" s="35" t="e">
        <f t="shared" ref="K57:K59" ca="1" si="4">POW(J57,2)</f>
        <v>#NAME?</v>
      </c>
      <c r="L57" s="35" t="e">
        <f t="shared" ref="L57:L59" ca="1" si="5">K57*($D$6/$E$7)</f>
        <v>#NAME?</v>
      </c>
      <c r="M57" s="35" t="e">
        <f t="shared" ref="M57:M59" ca="1" si="6">POW(L57,(1/3))</f>
        <v>#NAME?</v>
      </c>
      <c r="N57" s="38" t="e">
        <f t="shared" ref="N57:N59" ca="1" si="7">M57*0.045</f>
        <v>#NAME?</v>
      </c>
    </row>
    <row r="58" spans="2:14" ht="14.25">
      <c r="B58" s="28">
        <v>2</v>
      </c>
      <c r="C58" s="29">
        <f>K7</f>
        <v>50</v>
      </c>
      <c r="D58" s="31" t="e">
        <f t="shared" ca="1" si="0"/>
        <v>#NAME?</v>
      </c>
      <c r="E58" s="32" t="e">
        <f t="shared" ca="1" si="1"/>
        <v>#NAME?</v>
      </c>
      <c r="F58" s="32" t="e">
        <f ca="1">('MR, CP'!C12/4)/($E$33*E58)</f>
        <v>#NAME?</v>
      </c>
      <c r="G58" s="32" t="e">
        <f t="shared" ca="1" si="2"/>
        <v>#NAME?</v>
      </c>
      <c r="I58" s="33">
        <f t="shared" si="3"/>
        <v>1680</v>
      </c>
      <c r="J58" s="35">
        <f>I58/('MR, CP'!C12/4)</f>
        <v>6720</v>
      </c>
      <c r="K58" s="35" t="e">
        <f t="shared" ca="1" si="4"/>
        <v>#NAME?</v>
      </c>
      <c r="L58" s="35" t="e">
        <f t="shared" ca="1" si="5"/>
        <v>#NAME?</v>
      </c>
      <c r="M58" s="35" t="e">
        <f t="shared" ca="1" si="6"/>
        <v>#NAME?</v>
      </c>
      <c r="N58" s="38" t="e">
        <f t="shared" ca="1" si="7"/>
        <v>#NAME?</v>
      </c>
    </row>
    <row r="59" spans="2:14" ht="14.25">
      <c r="B59" s="28">
        <v>3</v>
      </c>
      <c r="C59" s="29">
        <f>M7</f>
        <v>20</v>
      </c>
      <c r="D59" s="31" t="e">
        <f t="shared" ca="1" si="0"/>
        <v>#NAME?</v>
      </c>
      <c r="E59" s="32" t="e">
        <f t="shared" ca="1" si="1"/>
        <v>#NAME?</v>
      </c>
      <c r="F59" s="32" t="e">
        <f ca="1">('MR, CP'!C12/4)/($E$33*E59)</f>
        <v>#NAME?</v>
      </c>
      <c r="G59" s="40" t="e">
        <f t="shared" ca="1" si="2"/>
        <v>#NAME?</v>
      </c>
      <c r="I59" s="41">
        <f t="shared" si="3"/>
        <v>672</v>
      </c>
      <c r="J59" s="42">
        <f>I59/('MR, CP'!C12/4)</f>
        <v>2688</v>
      </c>
      <c r="K59" s="42" t="e">
        <f t="shared" ca="1" si="4"/>
        <v>#NAME?</v>
      </c>
      <c r="L59" s="42" t="e">
        <f t="shared" ca="1" si="5"/>
        <v>#NAME?</v>
      </c>
      <c r="M59" s="42" t="e">
        <f t="shared" ca="1" si="6"/>
        <v>#NAME?</v>
      </c>
      <c r="N59" s="43" t="e">
        <f t="shared" ca="1" si="7"/>
        <v>#NAME?</v>
      </c>
    </row>
    <row r="61" spans="2:14" ht="12.75">
      <c r="B61" s="5" t="s">
        <v>123</v>
      </c>
    </row>
    <row r="63" spans="2:14" ht="12.75">
      <c r="B63" s="5" t="s">
        <v>125</v>
      </c>
    </row>
    <row r="65" spans="2:7" ht="12.75">
      <c r="B65" s="5" t="s">
        <v>9</v>
      </c>
    </row>
    <row r="67" spans="2:7" ht="12.75">
      <c r="B67" s="5" t="s">
        <v>126</v>
      </c>
    </row>
    <row r="69" spans="2:7" ht="12.75">
      <c r="B69" s="5" t="s">
        <v>127</v>
      </c>
    </row>
    <row r="71" spans="2:7" ht="12.75">
      <c r="B71" s="5" t="s">
        <v>128</v>
      </c>
    </row>
    <row r="73" spans="2:7" ht="12.75">
      <c r="B73" s="3" t="s">
        <v>129</v>
      </c>
    </row>
    <row r="75" spans="2:7" ht="12.75">
      <c r="B75" s="5" t="s">
        <v>131</v>
      </c>
    </row>
    <row r="77" spans="2:7" ht="12.75">
      <c r="B77" s="14" t="s">
        <v>132</v>
      </c>
    </row>
    <row r="78" spans="2:7" ht="14.25">
      <c r="G78" s="45"/>
    </row>
    <row r="79" spans="2:7" ht="12.75">
      <c r="B79" s="5" t="s">
        <v>23</v>
      </c>
    </row>
    <row r="81" spans="2:15" ht="12.75">
      <c r="B81" s="5" t="s">
        <v>134</v>
      </c>
    </row>
    <row r="83" spans="2:15" ht="12.75">
      <c r="B83" s="23" t="s">
        <v>84</v>
      </c>
      <c r="C83" s="23" t="s">
        <v>85</v>
      </c>
      <c r="D83" s="23" t="s">
        <v>135</v>
      </c>
      <c r="E83" s="23" t="s">
        <v>136</v>
      </c>
      <c r="F83" s="23" t="s">
        <v>137</v>
      </c>
      <c r="G83" s="23" t="s">
        <v>139</v>
      </c>
      <c r="H83" s="23" t="s">
        <v>140</v>
      </c>
      <c r="I83" s="23" t="s">
        <v>85</v>
      </c>
      <c r="K83" s="48" t="s">
        <v>141</v>
      </c>
      <c r="L83" s="44" t="s">
        <v>143</v>
      </c>
      <c r="M83" s="44" t="s">
        <v>144</v>
      </c>
      <c r="N83" s="49" t="s">
        <v>137</v>
      </c>
    </row>
    <row r="84" spans="2:15" ht="14.25">
      <c r="B84" s="28">
        <v>1</v>
      </c>
      <c r="C84" s="29">
        <f t="shared" ref="C84:C86" si="8">C57</f>
        <v>70</v>
      </c>
      <c r="D84" s="31" t="e">
        <f ca="1">(D6*60*F57)/3</f>
        <v>#NAME?</v>
      </c>
      <c r="E84" s="40" t="e">
        <f ca="1">(E33*E57)/(2*(E33+E57))</f>
        <v>#NAME?</v>
      </c>
      <c r="F84" s="32" t="e">
        <f t="shared" ref="F84:F86" ca="1" si="9">N84</f>
        <v>#NAME?</v>
      </c>
      <c r="G84" s="50" t="e">
        <f t="shared" ref="G84:G86" ca="1" si="10">((D57*(POW(F57,2))+(D57-1)*(POW(G57,2)))/(2*9.81))*100</f>
        <v>#NAME?</v>
      </c>
      <c r="H84" s="51" t="e">
        <f t="shared" ref="H84:H86" ca="1" si="11">G84+F84</f>
        <v>#NAME?</v>
      </c>
      <c r="I84" s="52" t="e">
        <f ca="1">SQRT(('MR, CP'!C133*(H84/100))/('MR, CP'!C134*((D6*60)/3)))</f>
        <v>#NAME?</v>
      </c>
      <c r="K84" s="53" t="e">
        <f ca="1">((('MR, CP'!C6/4)*'C coag'!C65)/((E57*E33)*(POW(E84,2/3))))</f>
        <v>#NAME?</v>
      </c>
      <c r="L84" s="53" t="e">
        <f t="shared" ref="L84:L86" ca="1" si="12">K84*K84</f>
        <v>#NAME?</v>
      </c>
      <c r="M84" s="9" t="e">
        <f t="shared" ref="M84:M86" ca="1" si="13">L84*D84</f>
        <v>#NAME?</v>
      </c>
      <c r="N84" s="12" t="e">
        <f t="shared" ref="N84:N86" ca="1" si="14">M84*100</f>
        <v>#NAME?</v>
      </c>
    </row>
    <row r="85" spans="2:15" ht="14.25">
      <c r="B85" s="28">
        <v>2</v>
      </c>
      <c r="C85" s="29">
        <f t="shared" si="8"/>
        <v>50</v>
      </c>
      <c r="D85" s="31" t="e">
        <f ca="1">(D6*60*F58)/3</f>
        <v>#NAME?</v>
      </c>
      <c r="E85" s="40" t="e">
        <f ca="1">(E33*E58)/(2*(E33+E58))</f>
        <v>#NAME?</v>
      </c>
      <c r="F85" s="32" t="e">
        <f t="shared" ca="1" si="9"/>
        <v>#NAME?</v>
      </c>
      <c r="G85" s="50" t="e">
        <f t="shared" ca="1" si="10"/>
        <v>#NAME?</v>
      </c>
      <c r="H85" s="51" t="e">
        <f t="shared" ca="1" si="11"/>
        <v>#NAME?</v>
      </c>
      <c r="I85" s="52" t="e">
        <f ca="1">SQRT(('MR, CP'!C133*(H85/100))/('MR, CP'!C134*((D6*60)/3)))</f>
        <v>#NAME?</v>
      </c>
      <c r="K85" s="53" t="e">
        <f ca="1">((('MR, CP'!C6/4)*'C coag'!C65)/((E58*E33)*(POW(E85,2/3))))</f>
        <v>#NAME?</v>
      </c>
      <c r="L85" s="53" t="e">
        <f t="shared" ca="1" si="12"/>
        <v>#NAME?</v>
      </c>
      <c r="M85" s="9" t="e">
        <f t="shared" ca="1" si="13"/>
        <v>#NAME?</v>
      </c>
      <c r="N85" s="12" t="e">
        <f t="shared" ca="1" si="14"/>
        <v>#NAME?</v>
      </c>
    </row>
    <row r="86" spans="2:15" ht="14.25">
      <c r="B86" s="28">
        <v>3</v>
      </c>
      <c r="C86" s="29">
        <f t="shared" si="8"/>
        <v>20</v>
      </c>
      <c r="D86" s="31" t="e">
        <f ca="1">(D6*60*F59)/3</f>
        <v>#NAME?</v>
      </c>
      <c r="E86" s="40" t="e">
        <f ca="1">(E33*E59)/(2*(E33+E59))</f>
        <v>#NAME?</v>
      </c>
      <c r="F86" s="32" t="e">
        <f t="shared" ca="1" si="9"/>
        <v>#NAME?</v>
      </c>
      <c r="G86" s="50" t="e">
        <f t="shared" ca="1" si="10"/>
        <v>#NAME?</v>
      </c>
      <c r="H86" s="51" t="e">
        <f t="shared" ca="1" si="11"/>
        <v>#NAME?</v>
      </c>
      <c r="I86" s="52" t="e">
        <f ca="1">SQRT(('MR, CP'!C133*(H86/100))/('MR, CP'!C134*((D6*60)/3)))</f>
        <v>#NAME?</v>
      </c>
      <c r="K86" s="53" t="e">
        <f ca="1">((('MR, CP'!C6/4)*'C coag'!C65)/((E59*E33)*(POW(E86,2/3))))</f>
        <v>#NAME?</v>
      </c>
      <c r="L86" s="53" t="e">
        <f t="shared" ca="1" si="12"/>
        <v>#NAME?</v>
      </c>
      <c r="M86" s="9" t="e">
        <f t="shared" ca="1" si="13"/>
        <v>#NAME?</v>
      </c>
      <c r="N86" s="12" t="e">
        <f t="shared" ca="1" si="14"/>
        <v>#NAME?</v>
      </c>
    </row>
    <row r="89" spans="2:15" ht="12.75">
      <c r="B89" s="3" t="s">
        <v>213</v>
      </c>
    </row>
    <row r="91" spans="2:15" ht="12.75">
      <c r="B91" s="3" t="s">
        <v>214</v>
      </c>
      <c r="D91" s="5">
        <f>H9</f>
        <v>4</v>
      </c>
      <c r="E91" s="3" t="s">
        <v>215</v>
      </c>
      <c r="G91" s="5">
        <f>E7</f>
        <v>3</v>
      </c>
      <c r="H91" s="3" t="s">
        <v>216</v>
      </c>
      <c r="L91" s="61" t="e">
        <f ca="1">I84</f>
        <v>#NAME?</v>
      </c>
      <c r="M91" s="61" t="e">
        <f ca="1">I85</f>
        <v>#NAME?</v>
      </c>
      <c r="N91" s="61" t="e">
        <f ca="1">I86</f>
        <v>#NAME?</v>
      </c>
      <c r="O91" s="3" t="s">
        <v>217</v>
      </c>
    </row>
    <row r="92" spans="2:15" ht="14.25">
      <c r="B92" s="3" t="s">
        <v>218</v>
      </c>
      <c r="D92" s="63">
        <f>C31</f>
        <v>8.4</v>
      </c>
      <c r="E92" s="14" t="s">
        <v>219</v>
      </c>
      <c r="H92" s="64">
        <f>E33</f>
        <v>2.8000000000000003</v>
      </c>
      <c r="I92" s="14" t="s">
        <v>220</v>
      </c>
      <c r="K92" s="63">
        <f>D10</f>
        <v>12</v>
      </c>
      <c r="L92" s="3" t="s">
        <v>5</v>
      </c>
      <c r="M92" s="54" t="s">
        <v>221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P70"/>
  <sheetViews>
    <sheetView workbookViewId="0">
      <selection activeCell="K17" sqref="K17"/>
    </sheetView>
  </sheetViews>
  <sheetFormatPr defaultColWidth="14.42578125" defaultRowHeight="15.75" customHeight="1"/>
  <cols>
    <col min="9" max="9" width="14.42578125" customWidth="1"/>
    <col min="10" max="10" width="15.7109375" customWidth="1"/>
    <col min="11" max="11" width="21.42578125" customWidth="1"/>
    <col min="12" max="12" width="14" customWidth="1"/>
    <col min="13" max="13" width="16.140625" customWidth="1"/>
  </cols>
  <sheetData>
    <row r="2" spans="2:14" ht="15.75" customHeight="1">
      <c r="B2" s="1" t="s">
        <v>162</v>
      </c>
    </row>
    <row r="4" spans="2:14">
      <c r="B4" s="5" t="s">
        <v>29</v>
      </c>
    </row>
    <row r="6" spans="2:14">
      <c r="B6" s="3" t="s">
        <v>32</v>
      </c>
      <c r="D6" s="4">
        <v>30</v>
      </c>
      <c r="E6" s="3" t="s">
        <v>33</v>
      </c>
    </row>
    <row r="7" spans="2:14">
      <c r="B7" s="3" t="s">
        <v>35</v>
      </c>
      <c r="E7" s="4">
        <v>3</v>
      </c>
      <c r="F7" s="17" t="s">
        <v>36</v>
      </c>
      <c r="I7" s="4">
        <v>70</v>
      </c>
      <c r="J7" s="3" t="s">
        <v>26</v>
      </c>
      <c r="K7" s="4">
        <v>50</v>
      </c>
      <c r="L7" s="3" t="s">
        <v>26</v>
      </c>
      <c r="M7" s="4">
        <v>20</v>
      </c>
      <c r="N7" s="3" t="s">
        <v>26</v>
      </c>
    </row>
    <row r="8" spans="2:14">
      <c r="B8" s="3" t="s">
        <v>41</v>
      </c>
      <c r="D8" s="4">
        <v>4.5</v>
      </c>
      <c r="E8" s="3" t="s">
        <v>5</v>
      </c>
    </row>
    <row r="9" spans="2:14">
      <c r="B9" s="3" t="s">
        <v>42</v>
      </c>
      <c r="D9" s="19">
        <f>'Floc, Hid'!D9</f>
        <v>4</v>
      </c>
      <c r="E9" s="20" t="s">
        <v>45</v>
      </c>
      <c r="F9" s="3" t="s">
        <v>49</v>
      </c>
      <c r="H9" s="6">
        <f>D9</f>
        <v>4</v>
      </c>
      <c r="I9" s="20" t="s">
        <v>45</v>
      </c>
      <c r="J9" s="3" t="s">
        <v>50</v>
      </c>
      <c r="K9" s="6">
        <f>'MR, CP'!C6/H9</f>
        <v>0.25</v>
      </c>
      <c r="L9" s="3" t="s">
        <v>43</v>
      </c>
    </row>
    <row r="10" spans="2:14">
      <c r="B10" s="3" t="s">
        <v>51</v>
      </c>
      <c r="D10" s="4">
        <v>12</v>
      </c>
      <c r="E10" s="3" t="s">
        <v>5</v>
      </c>
    </row>
    <row r="11" spans="2:14">
      <c r="B11" s="3" t="s">
        <v>52</v>
      </c>
    </row>
    <row r="13" spans="2:14">
      <c r="B13" s="5" t="s">
        <v>53</v>
      </c>
    </row>
    <row r="15" spans="2:14">
      <c r="B15" s="5" t="s">
        <v>54</v>
      </c>
    </row>
    <row r="17" spans="2:4">
      <c r="B17" s="3" t="s">
        <v>55</v>
      </c>
      <c r="C17" s="6">
        <f>'MR, CP'!C12/D9*(D6*60)</f>
        <v>450</v>
      </c>
      <c r="D17" s="3" t="s">
        <v>56</v>
      </c>
    </row>
    <row r="19" spans="2:4">
      <c r="B19" s="5" t="s">
        <v>57</v>
      </c>
    </row>
    <row r="21" spans="2:4">
      <c r="B21" s="5" t="s">
        <v>58</v>
      </c>
    </row>
    <row r="23" spans="2:4">
      <c r="B23" s="3" t="s">
        <v>59</v>
      </c>
      <c r="C23" s="6">
        <f>C17/D8</f>
        <v>100</v>
      </c>
      <c r="D23" s="3" t="s">
        <v>60</v>
      </c>
    </row>
    <row r="25" spans="2:4">
      <c r="B25" s="5" t="s">
        <v>61</v>
      </c>
    </row>
    <row r="27" spans="2:4">
      <c r="B27" s="5" t="s">
        <v>62</v>
      </c>
    </row>
    <row r="29" spans="2:4">
      <c r="B29" s="3" t="s">
        <v>63</v>
      </c>
      <c r="C29" s="21">
        <f>C23/D10</f>
        <v>8.3333333333333339</v>
      </c>
      <c r="D29" s="3" t="s">
        <v>5</v>
      </c>
    </row>
    <row r="31" spans="2:4">
      <c r="B31" s="3" t="s">
        <v>64</v>
      </c>
      <c r="C31" s="4">
        <v>8.4</v>
      </c>
      <c r="D31" s="3" t="s">
        <v>5</v>
      </c>
    </row>
    <row r="33" spans="2:14">
      <c r="B33" s="2" t="s">
        <v>65</v>
      </c>
      <c r="E33" s="6">
        <f>C31/E7</f>
        <v>2.8000000000000003</v>
      </c>
      <c r="F33" s="3" t="s">
        <v>5</v>
      </c>
    </row>
    <row r="35" spans="2:14">
      <c r="B35" s="56" t="s">
        <v>184</v>
      </c>
      <c r="F35" s="4">
        <v>3</v>
      </c>
      <c r="G35" s="56" t="s">
        <v>185</v>
      </c>
      <c r="I35" s="4">
        <v>3</v>
      </c>
      <c r="J35" s="56" t="s">
        <v>186</v>
      </c>
      <c r="M35" s="4">
        <f>F35*I35</f>
        <v>9</v>
      </c>
      <c r="N35" s="56" t="s">
        <v>187</v>
      </c>
    </row>
    <row r="37" spans="2:14">
      <c r="B37" s="5" t="s">
        <v>188</v>
      </c>
    </row>
    <row r="39" spans="2:14" ht="12.75">
      <c r="B39" s="5" t="s">
        <v>189</v>
      </c>
    </row>
    <row r="41" spans="2:14" ht="12.75">
      <c r="B41" s="3" t="s">
        <v>190</v>
      </c>
      <c r="C41" s="3" t="s">
        <v>191</v>
      </c>
    </row>
    <row r="43" spans="2:14" ht="12.75">
      <c r="B43" s="3" t="s">
        <v>192</v>
      </c>
      <c r="C43" s="6">
        <f>C17/M35</f>
        <v>50</v>
      </c>
      <c r="D43" s="3" t="s">
        <v>60</v>
      </c>
    </row>
    <row r="45" spans="2:14" ht="12.75">
      <c r="B45" s="5" t="s">
        <v>193</v>
      </c>
    </row>
    <row r="47" spans="2:14" ht="12.75">
      <c r="B47" s="5" t="s">
        <v>194</v>
      </c>
    </row>
    <row r="49" spans="2:16" ht="12.75">
      <c r="B49" s="5" t="s">
        <v>195</v>
      </c>
    </row>
    <row r="51" spans="2:16" ht="12.75">
      <c r="B51" s="2" t="s">
        <v>196</v>
      </c>
    </row>
    <row r="53" spans="2:16" ht="12.75">
      <c r="B53" s="5" t="s">
        <v>197</v>
      </c>
    </row>
    <row r="55" spans="2:16" ht="12.75">
      <c r="B55" s="3" t="s">
        <v>198</v>
      </c>
      <c r="C55" s="3">
        <v>1.5</v>
      </c>
      <c r="D55" s="3" t="s">
        <v>199</v>
      </c>
    </row>
    <row r="57" spans="2:16" ht="12.75">
      <c r="B57" s="5" t="s">
        <v>200</v>
      </c>
    </row>
    <row r="59" spans="2:16" ht="12.75">
      <c r="B59" s="5" t="s">
        <v>201</v>
      </c>
    </row>
    <row r="61" spans="2:16" ht="12.75">
      <c r="B61" s="23" t="s">
        <v>84</v>
      </c>
      <c r="C61" s="23" t="s">
        <v>85</v>
      </c>
      <c r="D61" s="23" t="s">
        <v>202</v>
      </c>
      <c r="E61" s="23" t="s">
        <v>203</v>
      </c>
      <c r="F61" s="23" t="s">
        <v>204</v>
      </c>
      <c r="G61" s="23" t="s">
        <v>205</v>
      </c>
      <c r="H61" s="23" t="s">
        <v>206</v>
      </c>
      <c r="J61" s="57" t="s">
        <v>198</v>
      </c>
      <c r="K61" s="57" t="s">
        <v>207</v>
      </c>
      <c r="L61" s="57" t="s">
        <v>208</v>
      </c>
      <c r="M61" s="57" t="s">
        <v>209</v>
      </c>
      <c r="N61" s="57" t="s">
        <v>210</v>
      </c>
      <c r="O61" s="57" t="s">
        <v>211</v>
      </c>
      <c r="P61" s="57" t="s">
        <v>212</v>
      </c>
    </row>
    <row r="62" spans="2:16" ht="14.25">
      <c r="B62" s="28">
        <v>1</v>
      </c>
      <c r="C62" s="58">
        <v>70</v>
      </c>
      <c r="D62" s="59">
        <v>50</v>
      </c>
      <c r="E62" s="50" t="e">
        <f ca="1">(POW(C62,2)*'MR, CP'!C134*D62)*10</f>
        <v>#NAME?</v>
      </c>
      <c r="F62" s="60">
        <v>1.2</v>
      </c>
      <c r="G62" s="31" t="e">
        <f t="shared" ref="G62:G64" ca="1" si="0">P62</f>
        <v>#NAME?</v>
      </c>
      <c r="H62" s="62" t="e">
        <f t="shared" ref="H62:H64" ca="1" si="1">PI()*F62*O62</f>
        <v>#NAME?</v>
      </c>
      <c r="J62" s="44">
        <v>1.5</v>
      </c>
      <c r="K62" s="44">
        <v>1000</v>
      </c>
      <c r="L62" s="9" t="e">
        <f t="shared" ref="L62:L64" ca="1" si="2">POW(F62,5)</f>
        <v>#NAME?</v>
      </c>
      <c r="M62" s="9" t="e">
        <f t="shared" ref="M62:M64" ca="1" si="3">E62/(J62*K62)</f>
        <v>#NAME?</v>
      </c>
      <c r="N62" s="9" t="e">
        <f t="shared" ref="N62:N64" ca="1" si="4">M62/L62</f>
        <v>#NAME?</v>
      </c>
      <c r="O62" s="9" t="e">
        <f t="shared" ref="O62:O64" ca="1" si="5">POW(N62,(1/3))</f>
        <v>#NAME?</v>
      </c>
      <c r="P62" s="65" t="e">
        <f t="shared" ref="P62:P64" ca="1" si="6">O62*60</f>
        <v>#NAME?</v>
      </c>
    </row>
    <row r="63" spans="2:16" ht="14.25">
      <c r="B63" s="28">
        <v>2</v>
      </c>
      <c r="C63" s="58">
        <v>50</v>
      </c>
      <c r="D63" s="59">
        <v>50</v>
      </c>
      <c r="E63" s="50" t="e">
        <f ca="1">(POW(C63,2)*'MR, CP'!C134*D63)*10</f>
        <v>#NAME?</v>
      </c>
      <c r="F63" s="60">
        <v>1.2</v>
      </c>
      <c r="G63" s="31" t="e">
        <f t="shared" ca="1" si="0"/>
        <v>#NAME?</v>
      </c>
      <c r="H63" s="62" t="e">
        <f t="shared" ca="1" si="1"/>
        <v>#NAME?</v>
      </c>
      <c r="J63" s="44">
        <v>1.5</v>
      </c>
      <c r="K63" s="44">
        <v>1000</v>
      </c>
      <c r="L63" s="9" t="e">
        <f t="shared" ca="1" si="2"/>
        <v>#NAME?</v>
      </c>
      <c r="M63" s="9" t="e">
        <f t="shared" ca="1" si="3"/>
        <v>#NAME?</v>
      </c>
      <c r="N63" s="9" t="e">
        <f t="shared" ca="1" si="4"/>
        <v>#NAME?</v>
      </c>
      <c r="O63" s="9" t="e">
        <f t="shared" ca="1" si="5"/>
        <v>#NAME?</v>
      </c>
      <c r="P63" s="65" t="e">
        <f t="shared" ca="1" si="6"/>
        <v>#NAME?</v>
      </c>
    </row>
    <row r="64" spans="2:16" ht="14.25">
      <c r="B64" s="28">
        <v>3</v>
      </c>
      <c r="C64" s="58">
        <v>20</v>
      </c>
      <c r="D64" s="59">
        <v>50</v>
      </c>
      <c r="E64" s="50" t="e">
        <f ca="1">(POW(C64,2)*'MR, CP'!C134*D64)*10</f>
        <v>#NAME?</v>
      </c>
      <c r="F64" s="60">
        <v>1.2</v>
      </c>
      <c r="G64" s="31" t="e">
        <f t="shared" ca="1" si="0"/>
        <v>#NAME?</v>
      </c>
      <c r="H64" s="62" t="e">
        <f t="shared" ca="1" si="1"/>
        <v>#NAME?</v>
      </c>
      <c r="J64" s="44">
        <v>1.5</v>
      </c>
      <c r="K64" s="44">
        <v>1000</v>
      </c>
      <c r="L64" s="9" t="e">
        <f t="shared" ca="1" si="2"/>
        <v>#NAME?</v>
      </c>
      <c r="M64" s="9" t="e">
        <f t="shared" ca="1" si="3"/>
        <v>#NAME?</v>
      </c>
      <c r="N64" s="9" t="e">
        <f t="shared" ca="1" si="4"/>
        <v>#NAME?</v>
      </c>
      <c r="O64" s="9" t="e">
        <f t="shared" ca="1" si="5"/>
        <v>#NAME?</v>
      </c>
      <c r="P64" s="65" t="e">
        <f t="shared" ca="1" si="6"/>
        <v>#NAME?</v>
      </c>
    </row>
    <row r="69" spans="4:14" ht="12.75">
      <c r="D69" s="5"/>
      <c r="G69" s="5"/>
      <c r="L69" s="63"/>
      <c r="M69" s="63"/>
      <c r="N69" s="63"/>
    </row>
    <row r="70" spans="4:14" ht="14.25">
      <c r="D70" s="63"/>
      <c r="E70" s="14"/>
      <c r="H70" s="64"/>
      <c r="I70" s="14"/>
      <c r="K70" s="63"/>
      <c r="M70" s="54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P2"/>
  <sheetViews>
    <sheetView workbookViewId="0"/>
  </sheetViews>
  <sheetFormatPr defaultColWidth="14.42578125" defaultRowHeight="15.75" customHeight="1"/>
  <sheetData>
    <row r="2" spans="2:16">
      <c r="B2" s="3" t="s">
        <v>222</v>
      </c>
      <c r="H2" s="3" t="s">
        <v>223</v>
      </c>
      <c r="P2" s="3" t="s">
        <v>224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M68"/>
  <sheetViews>
    <sheetView workbookViewId="0">
      <selection activeCell="E30" sqref="E30"/>
    </sheetView>
  </sheetViews>
  <sheetFormatPr defaultColWidth="14.42578125" defaultRowHeight="15.75" customHeight="1"/>
  <sheetData>
    <row r="2" spans="2:8" ht="15.75" customHeight="1">
      <c r="B2" s="1" t="s">
        <v>225</v>
      </c>
    </row>
    <row r="4" spans="2:8">
      <c r="B4" s="5" t="s">
        <v>29</v>
      </c>
    </row>
    <row r="6" spans="2:8">
      <c r="B6" s="3" t="s">
        <v>226</v>
      </c>
      <c r="E6" s="4">
        <v>40</v>
      </c>
      <c r="F6" s="3" t="s">
        <v>227</v>
      </c>
      <c r="H6" s="3" t="s">
        <v>228</v>
      </c>
    </row>
    <row r="7" spans="2:8">
      <c r="B7" s="3" t="s">
        <v>42</v>
      </c>
      <c r="E7" s="4">
        <v>4</v>
      </c>
      <c r="H7" s="3" t="s">
        <v>229</v>
      </c>
    </row>
    <row r="8" spans="2:8">
      <c r="B8" s="3" t="s">
        <v>41</v>
      </c>
      <c r="E8" s="4">
        <v>4.5</v>
      </c>
      <c r="F8" s="3" t="s">
        <v>5</v>
      </c>
      <c r="H8" s="3" t="s">
        <v>230</v>
      </c>
    </row>
    <row r="9" spans="2:8">
      <c r="H9" s="66"/>
    </row>
    <row r="10" spans="2:8">
      <c r="B10" s="5" t="s">
        <v>231</v>
      </c>
    </row>
    <row r="12" spans="2:8">
      <c r="B12" s="5" t="s">
        <v>232</v>
      </c>
    </row>
    <row r="14" spans="2:8">
      <c r="B14" s="5" t="s">
        <v>233</v>
      </c>
    </row>
    <row r="16" spans="2:8">
      <c r="B16" s="3" t="s">
        <v>59</v>
      </c>
      <c r="C16" s="6">
        <f>(('MR, CP'!C6/E7)*86400)/E6</f>
        <v>540</v>
      </c>
      <c r="D16" s="3" t="s">
        <v>60</v>
      </c>
    </row>
    <row r="18" spans="2:13">
      <c r="B18" s="5" t="s">
        <v>234</v>
      </c>
      <c r="F18" s="54" t="s">
        <v>235</v>
      </c>
    </row>
    <row r="20" spans="2:13">
      <c r="B20" s="67" t="s">
        <v>236</v>
      </c>
    </row>
    <row r="22" spans="2:13">
      <c r="B22" s="68" t="s">
        <v>77</v>
      </c>
      <c r="C22" s="6">
        <f>(C16*E8)/('MR, CP'!C6/E7*3600)</f>
        <v>2.7</v>
      </c>
      <c r="D22" s="3" t="s">
        <v>237</v>
      </c>
      <c r="E22" s="3" t="s">
        <v>238</v>
      </c>
      <c r="F22" s="3">
        <v>4</v>
      </c>
      <c r="G22" s="3" t="s">
        <v>239</v>
      </c>
      <c r="H22" s="3" t="s">
        <v>240</v>
      </c>
      <c r="I22" s="3">
        <v>2.5</v>
      </c>
      <c r="J22" s="69" t="str">
        <f>IF(C22&lt;F22,"já que é menor que 4, agora é verificar se é maior que 2,5","corrigir")</f>
        <v>já que é menor que 4, agora é verificar se é maior que 2,5</v>
      </c>
      <c r="K22" s="70"/>
      <c r="L22" s="70"/>
      <c r="M22" s="70"/>
    </row>
    <row r="23" spans="2:13">
      <c r="J23" s="69" t="str">
        <f>IF(C22&gt;I22,"é maior que 2,5 - está ok","não é, corrigir")</f>
        <v>é maior que 2,5 - está ok</v>
      </c>
      <c r="K23" s="70"/>
    </row>
    <row r="24" spans="2:13">
      <c r="B24" s="5" t="s">
        <v>253</v>
      </c>
    </row>
    <row r="26" spans="2:13">
      <c r="B26" s="3" t="s">
        <v>254</v>
      </c>
      <c r="E26" s="4">
        <v>4</v>
      </c>
      <c r="G26" s="54" t="s">
        <v>255</v>
      </c>
    </row>
    <row r="28" spans="2:13">
      <c r="B28" s="57" t="s">
        <v>256</v>
      </c>
      <c r="C28" s="6">
        <f>E26</f>
        <v>4</v>
      </c>
      <c r="D28" s="57" t="s">
        <v>257</v>
      </c>
      <c r="E28" s="71">
        <f>C16</f>
        <v>540</v>
      </c>
      <c r="F28" s="72" t="s">
        <v>260</v>
      </c>
      <c r="G28" s="72" t="s">
        <v>262</v>
      </c>
    </row>
    <row r="30" spans="2:13">
      <c r="B30" s="3" t="s">
        <v>8</v>
      </c>
      <c r="C30" s="46" t="e">
        <f ca="1">POW((E28/4),(1/2))</f>
        <v>#NAME?</v>
      </c>
      <c r="D30" s="3" t="s">
        <v>5</v>
      </c>
    </row>
    <row r="32" spans="2:13">
      <c r="B32" s="73" t="s">
        <v>8</v>
      </c>
      <c r="C32" s="74">
        <v>12</v>
      </c>
      <c r="D32" s="73" t="s">
        <v>5</v>
      </c>
    </row>
    <row r="33" spans="2:4">
      <c r="B33" s="73" t="s">
        <v>71</v>
      </c>
      <c r="C33" s="74">
        <f>C32*E26</f>
        <v>48</v>
      </c>
      <c r="D33" s="73" t="s">
        <v>5</v>
      </c>
    </row>
    <row r="35" spans="2:4">
      <c r="B35" s="3" t="s">
        <v>282</v>
      </c>
      <c r="C35" s="75">
        <f>C32*C33</f>
        <v>576</v>
      </c>
      <c r="D35" s="3" t="s">
        <v>60</v>
      </c>
    </row>
    <row r="37" spans="2:4">
      <c r="C37" s="3" t="s">
        <v>97</v>
      </c>
    </row>
    <row r="39" spans="2:4" ht="12.75">
      <c r="B39" s="73" t="s">
        <v>8</v>
      </c>
      <c r="C39" s="74">
        <f>C32</f>
        <v>12</v>
      </c>
      <c r="D39" s="73" t="s">
        <v>5</v>
      </c>
    </row>
    <row r="40" spans="2:4" ht="12.75">
      <c r="B40" s="73" t="s">
        <v>71</v>
      </c>
      <c r="C40" s="76">
        <v>47</v>
      </c>
      <c r="D40" s="73" t="s">
        <v>5</v>
      </c>
    </row>
    <row r="42" spans="2:4" ht="12.75">
      <c r="B42" s="3" t="s">
        <v>282</v>
      </c>
      <c r="C42" s="74">
        <f>C39*C40</f>
        <v>564</v>
      </c>
      <c r="D42" s="3" t="s">
        <v>60</v>
      </c>
    </row>
    <row r="44" spans="2:4" ht="12.75">
      <c r="B44" s="5" t="s">
        <v>297</v>
      </c>
    </row>
    <row r="46" spans="2:4" ht="12.75">
      <c r="B46" s="5" t="s">
        <v>298</v>
      </c>
    </row>
    <row r="48" spans="2:4" ht="12.75">
      <c r="B48" s="3" t="s">
        <v>249</v>
      </c>
      <c r="C48" s="46">
        <f>(('MR, CP'!C6/4)/C42)*86400</f>
        <v>38.297872340425528</v>
      </c>
      <c r="D48" s="3" t="s">
        <v>227</v>
      </c>
    </row>
    <row r="50" spans="2:7" ht="14.25">
      <c r="B50" s="5" t="s">
        <v>303</v>
      </c>
      <c r="E50" s="54" t="s">
        <v>304</v>
      </c>
    </row>
    <row r="52" spans="2:7" ht="12.75">
      <c r="B52" s="5" t="s">
        <v>305</v>
      </c>
    </row>
    <row r="54" spans="2:7" ht="12.75">
      <c r="B54" s="3" t="s">
        <v>306</v>
      </c>
      <c r="C54" s="77">
        <f>((('MR, CP'!C6/4)/(E8*'Floc, Hid'!D10)))*100</f>
        <v>0.46296296296296291</v>
      </c>
      <c r="D54" s="3" t="s">
        <v>310</v>
      </c>
      <c r="E54" s="3" t="s">
        <v>238</v>
      </c>
      <c r="F54" s="3">
        <v>1.25</v>
      </c>
      <c r="G54" s="69" t="str">
        <f>IF(C54&lt;F54,"ok","corrigir)")</f>
        <v>ok</v>
      </c>
    </row>
    <row r="56" spans="2:7" ht="12.75">
      <c r="B56" s="5" t="s">
        <v>9</v>
      </c>
    </row>
    <row r="58" spans="2:7" ht="12.75">
      <c r="B58" s="5" t="s">
        <v>317</v>
      </c>
    </row>
    <row r="60" spans="2:7" ht="12.75">
      <c r="B60" s="3" t="s">
        <v>136</v>
      </c>
      <c r="C60" s="78">
        <f>(E8*'Floc, Hid'!D10)/(((2*E8)+('Floc, Hid'!D10)))</f>
        <v>2.5714285714285716</v>
      </c>
      <c r="D60" s="3" t="s">
        <v>5</v>
      </c>
    </row>
    <row r="62" spans="2:7" ht="12.75">
      <c r="B62" s="5" t="s">
        <v>321</v>
      </c>
    </row>
    <row r="64" spans="2:7" ht="12.75">
      <c r="B64" s="5" t="s">
        <v>322</v>
      </c>
    </row>
    <row r="66" spans="2:6" ht="12.75">
      <c r="B66" s="3" t="s">
        <v>324</v>
      </c>
      <c r="C66" s="77">
        <f>((C54/100)*C60)/C68</f>
        <v>11904.761904761906</v>
      </c>
      <c r="D66" s="3" t="s">
        <v>238</v>
      </c>
      <c r="E66" s="14">
        <v>20000</v>
      </c>
      <c r="F66" s="69" t="str">
        <f>IF(C66&lt;E66,"ok","corrigir")</f>
        <v>ok</v>
      </c>
    </row>
    <row r="68" spans="2:6" ht="14.25">
      <c r="B68" s="81" t="s">
        <v>329</v>
      </c>
      <c r="C68" s="3">
        <v>9.9999999999999995E-7</v>
      </c>
      <c r="D68" s="3" t="s">
        <v>323</v>
      </c>
      <c r="E68" s="3" t="s">
        <v>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I52"/>
  <sheetViews>
    <sheetView workbookViewId="0">
      <selection activeCell="C15" sqref="C15"/>
    </sheetView>
  </sheetViews>
  <sheetFormatPr defaultColWidth="14.42578125" defaultRowHeight="15.75" customHeight="1"/>
  <cols>
    <col min="3" max="3" width="16.28515625" customWidth="1"/>
  </cols>
  <sheetData>
    <row r="2" spans="2:4" ht="15.75" customHeight="1">
      <c r="B2" s="1" t="s">
        <v>241</v>
      </c>
    </row>
    <row r="4" spans="2:4">
      <c r="B4" s="5" t="s">
        <v>242</v>
      </c>
    </row>
    <row r="5" spans="2:4">
      <c r="B5" s="3"/>
    </row>
    <row r="6" spans="2:4">
      <c r="B6" s="3" t="s">
        <v>243</v>
      </c>
    </row>
    <row r="8" spans="2:4">
      <c r="B8" s="5" t="s">
        <v>244</v>
      </c>
    </row>
    <row r="10" spans="2:4">
      <c r="B10" s="3" t="s">
        <v>245</v>
      </c>
      <c r="C10" s="3" t="s">
        <v>246</v>
      </c>
    </row>
    <row r="11" spans="2:4">
      <c r="B11" s="3" t="s">
        <v>247</v>
      </c>
      <c r="C11" s="3" t="s">
        <v>248</v>
      </c>
    </row>
    <row r="12" spans="2:4">
      <c r="B12" s="3" t="s">
        <v>249</v>
      </c>
      <c r="C12" s="3" t="s">
        <v>250</v>
      </c>
    </row>
    <row r="14" spans="2:4">
      <c r="B14" s="3" t="s">
        <v>251</v>
      </c>
      <c r="C14" s="46">
        <f>0.018*'Decant conv'!E8*'Decant conv'!C48</f>
        <v>3.1021276595744673</v>
      </c>
      <c r="D14" s="3" t="s">
        <v>252</v>
      </c>
    </row>
    <row r="15" spans="2:4">
      <c r="B15" s="3" t="s">
        <v>247</v>
      </c>
      <c r="C15" s="46">
        <f>'Decant conv'!E8</f>
        <v>4.5</v>
      </c>
      <c r="D15" s="3" t="s">
        <v>5</v>
      </c>
    </row>
    <row r="16" spans="2:4">
      <c r="B16" s="3" t="s">
        <v>249</v>
      </c>
      <c r="C16" s="46">
        <f>'Decant conv'!C48</f>
        <v>38.297872340425528</v>
      </c>
      <c r="D16" s="14" t="s">
        <v>258</v>
      </c>
    </row>
    <row r="18" spans="2:9">
      <c r="B18" s="5" t="s">
        <v>259</v>
      </c>
    </row>
    <row r="20" spans="2:9">
      <c r="B20" s="3" t="s">
        <v>245</v>
      </c>
      <c r="C20" s="4">
        <v>2.5</v>
      </c>
      <c r="D20" s="3" t="s">
        <v>252</v>
      </c>
    </row>
    <row r="22" spans="2:9">
      <c r="B22" s="5" t="s">
        <v>261</v>
      </c>
    </row>
    <row r="23" spans="2:9">
      <c r="D23" s="3"/>
    </row>
    <row r="24" spans="2:9">
      <c r="B24" s="5" t="s">
        <v>263</v>
      </c>
    </row>
    <row r="26" spans="2:9">
      <c r="B26" s="3" t="s">
        <v>264</v>
      </c>
      <c r="C26" s="46">
        <f>(('MR, CP'!C6*1000)/'Decant conv'!E7)/C20</f>
        <v>100</v>
      </c>
      <c r="D26" s="3" t="s">
        <v>5</v>
      </c>
    </row>
    <row r="28" spans="2:9">
      <c r="B28" s="3" t="s">
        <v>269</v>
      </c>
      <c r="G28" s="4">
        <v>20</v>
      </c>
      <c r="H28" s="54" t="s">
        <v>271</v>
      </c>
      <c r="I28" s="54" t="s">
        <v>273</v>
      </c>
    </row>
    <row r="30" spans="2:9">
      <c r="B30" s="5" t="s">
        <v>274</v>
      </c>
    </row>
    <row r="32" spans="2:9">
      <c r="B32" s="3" t="s">
        <v>275</v>
      </c>
      <c r="C32" s="21">
        <f>'Decant conv'!C40*(G28/100)</f>
        <v>9.4</v>
      </c>
      <c r="D32" s="3" t="s">
        <v>5</v>
      </c>
    </row>
    <row r="34" spans="2:7">
      <c r="B34" s="5" t="s">
        <v>279</v>
      </c>
    </row>
    <row r="36" spans="2:7">
      <c r="B36" s="5" t="s">
        <v>280</v>
      </c>
    </row>
    <row r="38" spans="2:7" ht="12.75">
      <c r="B38" s="3" t="s">
        <v>283</v>
      </c>
      <c r="C38" s="21">
        <f>C26/(2*C32)</f>
        <v>5.3191489361702127</v>
      </c>
      <c r="D38" s="3" t="s">
        <v>287</v>
      </c>
    </row>
    <row r="40" spans="2:7" ht="12.75">
      <c r="B40" s="3" t="s">
        <v>289</v>
      </c>
      <c r="D40" s="4">
        <v>6</v>
      </c>
      <c r="E40" s="3" t="s">
        <v>291</v>
      </c>
      <c r="F40" s="4">
        <v>9</v>
      </c>
      <c r="G40" s="14" t="s">
        <v>293</v>
      </c>
    </row>
    <row r="42" spans="2:7" ht="12.75">
      <c r="B42" s="3" t="s">
        <v>294</v>
      </c>
    </row>
    <row r="44" spans="2:7" ht="12.75">
      <c r="B44" s="3" t="s">
        <v>264</v>
      </c>
      <c r="C44" s="21">
        <f>D40*F40*2</f>
        <v>108</v>
      </c>
      <c r="D44" s="3" t="s">
        <v>5</v>
      </c>
    </row>
    <row r="46" spans="2:7" ht="12.75">
      <c r="B46" s="3" t="s">
        <v>245</v>
      </c>
      <c r="C46" s="21">
        <f>(('MR, CP'!C6*1000)/'Decant conv'!E7)/C44</f>
        <v>2.3148148148148149</v>
      </c>
      <c r="D46" s="3" t="s">
        <v>252</v>
      </c>
    </row>
    <row r="48" spans="2:7" ht="12.75">
      <c r="B48" s="5" t="s">
        <v>300</v>
      </c>
    </row>
    <row r="50" spans="2:4" ht="12.75">
      <c r="B50" s="5" t="s">
        <v>301</v>
      </c>
    </row>
    <row r="52" spans="2:4" ht="12.75">
      <c r="B52" s="3" t="s">
        <v>302</v>
      </c>
      <c r="C52" s="75">
        <f>'Decant conv'!C39/D40</f>
        <v>2</v>
      </c>
      <c r="D52" s="3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R82"/>
  <sheetViews>
    <sheetView workbookViewId="0"/>
  </sheetViews>
  <sheetFormatPr defaultColWidth="14.42578125" defaultRowHeight="15.75" customHeight="1"/>
  <cols>
    <col min="9" max="9" width="13.5703125" customWidth="1"/>
    <col min="11" max="11" width="24.42578125" customWidth="1"/>
    <col min="14" max="14" width="22.7109375" customWidth="1"/>
  </cols>
  <sheetData>
    <row r="2" spans="2:8" ht="15.75" customHeight="1">
      <c r="B2" s="1" t="s">
        <v>265</v>
      </c>
    </row>
    <row r="4" spans="2:8">
      <c r="B4" s="5" t="s">
        <v>266</v>
      </c>
    </row>
    <row r="6" spans="2:8">
      <c r="B6" s="3" t="s">
        <v>267</v>
      </c>
      <c r="E6" s="4">
        <v>0.2</v>
      </c>
      <c r="F6" s="54" t="s">
        <v>268</v>
      </c>
    </row>
    <row r="8" spans="2:8">
      <c r="B8" s="3" t="s">
        <v>270</v>
      </c>
    </row>
    <row r="10" spans="2:8">
      <c r="B10" s="3" t="s">
        <v>272</v>
      </c>
      <c r="C10" s="21">
        <f>('MR, CP'!C6/'Decant conv'!E7)/E6</f>
        <v>1.25</v>
      </c>
      <c r="D10" s="3" t="s">
        <v>60</v>
      </c>
    </row>
    <row r="12" spans="2:8">
      <c r="B12" s="3" t="s">
        <v>276</v>
      </c>
      <c r="G12" s="4">
        <v>0.1</v>
      </c>
      <c r="H12" s="14" t="s">
        <v>277</v>
      </c>
    </row>
    <row r="14" spans="2:8">
      <c r="B14" s="5" t="s">
        <v>278</v>
      </c>
    </row>
    <row r="16" spans="2:8">
      <c r="B16" s="3" t="s">
        <v>281</v>
      </c>
    </row>
    <row r="18" spans="2:6">
      <c r="B18" s="3" t="s">
        <v>284</v>
      </c>
      <c r="C18" s="13">
        <f>C10/(G12*G12)</f>
        <v>124.99999999999997</v>
      </c>
      <c r="D18" s="3" t="s">
        <v>285</v>
      </c>
    </row>
    <row r="20" spans="2:6">
      <c r="B20" s="5" t="s">
        <v>286</v>
      </c>
    </row>
    <row r="22" spans="2:6">
      <c r="B22" s="5" t="s">
        <v>288</v>
      </c>
    </row>
    <row r="24" spans="2:6">
      <c r="B24" s="3" t="s">
        <v>290</v>
      </c>
    </row>
    <row r="26" spans="2:6">
      <c r="B26" s="3" t="s">
        <v>292</v>
      </c>
      <c r="C26" s="7">
        <f>('Decant conv'!C39*'Decant conv'!E8)/C18</f>
        <v>0.43200000000000011</v>
      </c>
      <c r="D26" s="3" t="s">
        <v>60</v>
      </c>
    </row>
    <row r="28" spans="2:6">
      <c r="B28" s="3" t="s">
        <v>295</v>
      </c>
    </row>
    <row r="30" spans="2:6">
      <c r="B30" s="3" t="s">
        <v>296</v>
      </c>
      <c r="E30" s="7" t="e">
        <f ca="1">POW(C26,(1/2))</f>
        <v>#NAME?</v>
      </c>
      <c r="F30" s="3" t="s">
        <v>5</v>
      </c>
    </row>
    <row r="32" spans="2:6">
      <c r="B32" s="3" t="s">
        <v>299</v>
      </c>
      <c r="C32" s="4">
        <v>0.65</v>
      </c>
      <c r="D32" s="3" t="s">
        <v>5</v>
      </c>
    </row>
    <row r="46" spans="2:4" ht="12.75">
      <c r="B46" s="3" t="s">
        <v>292</v>
      </c>
      <c r="C46" s="21">
        <f>C32*C32</f>
        <v>0.42250000000000004</v>
      </c>
      <c r="D46" s="3" t="s">
        <v>60</v>
      </c>
    </row>
    <row r="48" spans="2:4" ht="12.75">
      <c r="B48" s="5" t="s">
        <v>307</v>
      </c>
    </row>
    <row r="50" spans="2:11" ht="12.75">
      <c r="B50" s="3" t="s">
        <v>308</v>
      </c>
      <c r="D50" s="46">
        <f>'Decant conv'!E8/C32</f>
        <v>6.9230769230769225</v>
      </c>
    </row>
    <row r="51" spans="2:11" ht="12.75">
      <c r="D51" s="47"/>
    </row>
    <row r="52" spans="2:11" ht="12.75">
      <c r="B52" s="3" t="s">
        <v>309</v>
      </c>
      <c r="D52" s="46">
        <f>'Decant conv'!C39/C32</f>
        <v>18.46153846153846</v>
      </c>
    </row>
    <row r="54" spans="2:11" ht="12.75">
      <c r="B54" s="3" t="s">
        <v>311</v>
      </c>
      <c r="D54" s="4">
        <v>7</v>
      </c>
      <c r="E54" s="14" t="s">
        <v>312</v>
      </c>
      <c r="G54" s="4">
        <v>18</v>
      </c>
      <c r="H54" s="3" t="s">
        <v>313</v>
      </c>
      <c r="J54" s="13">
        <f>D54*G54</f>
        <v>126</v>
      </c>
      <c r="K54" s="3" t="s">
        <v>314</v>
      </c>
    </row>
    <row r="56" spans="2:11" ht="12.75">
      <c r="B56" s="5" t="s">
        <v>315</v>
      </c>
    </row>
    <row r="58" spans="2:11" ht="12.75">
      <c r="B58" s="3" t="s">
        <v>316</v>
      </c>
    </row>
    <row r="60" spans="2:11" ht="12.75">
      <c r="B60" s="3" t="s">
        <v>306</v>
      </c>
      <c r="C60" s="7">
        <f>('MR, CP'!C6/'Decant conv'!E7)/(J54*G12*G12)</f>
        <v>0.19841269841269837</v>
      </c>
      <c r="D60" s="3" t="s">
        <v>318</v>
      </c>
    </row>
    <row r="61" spans="2:11" ht="12.75">
      <c r="B61" s="5"/>
    </row>
    <row r="62" spans="2:11" ht="12.75">
      <c r="B62" s="5" t="s">
        <v>319</v>
      </c>
    </row>
    <row r="65" spans="4:18" ht="12.75">
      <c r="D65" s="3" t="s">
        <v>320</v>
      </c>
      <c r="E65" s="46">
        <f>(4*G12*G12)/(2*(G12+G12))</f>
        <v>0.10000000000000002</v>
      </c>
      <c r="F65" s="3" t="s">
        <v>5</v>
      </c>
      <c r="G65" s="4">
        <v>9.9999999999999995E-7</v>
      </c>
      <c r="H65" s="3" t="s">
        <v>323</v>
      </c>
      <c r="I65" s="3" t="s">
        <v>325</v>
      </c>
    </row>
    <row r="67" spans="4:18" ht="12.75">
      <c r="D67" s="3" t="s">
        <v>324</v>
      </c>
      <c r="E67" s="13">
        <f>C60*E65/'Decant conv'!C68</f>
        <v>19841.269841269841</v>
      </c>
      <c r="F67" s="3" t="s">
        <v>97</v>
      </c>
      <c r="G67" s="4">
        <v>19800</v>
      </c>
    </row>
    <row r="69" spans="4:18" ht="12.75">
      <c r="D69" s="3" t="s">
        <v>326</v>
      </c>
      <c r="K69" s="4">
        <v>0.5</v>
      </c>
      <c r="L69" s="3" t="s">
        <v>327</v>
      </c>
    </row>
    <row r="70" spans="4:18" ht="12.75">
      <c r="D70" s="3"/>
    </row>
    <row r="71" spans="4:18" ht="12.75">
      <c r="D71" s="79" t="s">
        <v>328</v>
      </c>
      <c r="E71" s="80" t="e">
        <f ca="1">O81</f>
        <v>#NAME?</v>
      </c>
      <c r="F71" s="82"/>
      <c r="G71" s="83"/>
      <c r="H71" s="82"/>
      <c r="I71" s="83"/>
      <c r="J71" s="82"/>
      <c r="K71" s="83"/>
      <c r="L71" s="82"/>
      <c r="N71" s="3" t="s">
        <v>330</v>
      </c>
      <c r="O71" s="75" t="e">
        <f ca="1">5.74/(POW(G67,0.9))</f>
        <v>#NAME?</v>
      </c>
      <c r="Q71" s="3" t="s">
        <v>330</v>
      </c>
      <c r="R71" s="75" t="e">
        <f ca="1">5.74/(POW(E67,0.9))</f>
        <v>#NAME?</v>
      </c>
    </row>
    <row r="72" spans="4:18" ht="12.75">
      <c r="E72" s="84"/>
    </row>
    <row r="73" spans="4:18" ht="12.75">
      <c r="D73" s="3" t="s">
        <v>331</v>
      </c>
      <c r="E73" s="7">
        <v>3.5000000000000003E-2</v>
      </c>
      <c r="N73" s="3" t="s">
        <v>332</v>
      </c>
      <c r="O73" s="75">
        <f>(K69/1000)/(3.7*E65)</f>
        <v>1.351351351351351E-3</v>
      </c>
      <c r="Q73" s="3" t="s">
        <v>332</v>
      </c>
      <c r="R73" s="75">
        <f>(K69/1000)/(3.7*E65)</f>
        <v>1.351351351351351E-3</v>
      </c>
    </row>
    <row r="74" spans="4:18" ht="12.75">
      <c r="E74" s="84"/>
    </row>
    <row r="75" spans="4:18" ht="12.75">
      <c r="D75" s="3" t="s">
        <v>18</v>
      </c>
      <c r="E75" s="85" t="e">
        <f ca="1">E73*(POW(C60,2))/(E65*2*9.81)</f>
        <v>#NAME?</v>
      </c>
      <c r="F75" s="3" t="s">
        <v>19</v>
      </c>
      <c r="N75" s="3" t="s">
        <v>333</v>
      </c>
      <c r="O75" s="75" t="e">
        <f ca="1">O71+O73</f>
        <v>#NAME?</v>
      </c>
      <c r="Q75" s="3" t="s">
        <v>333</v>
      </c>
      <c r="R75" s="75" t="e">
        <f ca="1">R71+R73</f>
        <v>#NAME?</v>
      </c>
    </row>
    <row r="76" spans="4:18" ht="12.75">
      <c r="E76" s="84"/>
    </row>
    <row r="77" spans="4:18" ht="14.25">
      <c r="D77" s="73" t="s">
        <v>25</v>
      </c>
      <c r="E77" s="86" t="e">
        <f ca="1">SQRT((C60*H77*E75)/H78)</f>
        <v>#NAME?</v>
      </c>
      <c r="F77" s="3" t="s">
        <v>26</v>
      </c>
      <c r="G77" s="54" t="s">
        <v>178</v>
      </c>
      <c r="H77" s="4">
        <v>1000</v>
      </c>
      <c r="I77" s="3" t="s">
        <v>179</v>
      </c>
      <c r="J77" s="3" t="s">
        <v>180</v>
      </c>
      <c r="N77" s="3" t="s">
        <v>334</v>
      </c>
      <c r="O77" s="75" t="e">
        <f ca="1">LOG(O75)</f>
        <v>#NAME?</v>
      </c>
      <c r="Q77" s="3" t="s">
        <v>334</v>
      </c>
      <c r="R77" s="75" t="e">
        <f ca="1">LOG(R75)</f>
        <v>#NAME?</v>
      </c>
    </row>
    <row r="78" spans="4:18" ht="12.75">
      <c r="G78" s="14" t="s">
        <v>181</v>
      </c>
      <c r="H78" s="55">
        <v>1E-4</v>
      </c>
      <c r="I78" s="3" t="s">
        <v>182</v>
      </c>
      <c r="J78" s="3" t="s">
        <v>183</v>
      </c>
    </row>
    <row r="79" spans="4:18" ht="12.75">
      <c r="N79" s="3" t="s">
        <v>143</v>
      </c>
      <c r="O79" s="75" t="e">
        <f ca="1">POW(O77,2)</f>
        <v>#NAME?</v>
      </c>
      <c r="Q79" s="3" t="s">
        <v>143</v>
      </c>
      <c r="R79" s="75" t="e">
        <f ca="1">POW(R77,2)</f>
        <v>#NAME?</v>
      </c>
    </row>
    <row r="81" spans="4:18" ht="12.75">
      <c r="D81" s="3" t="s">
        <v>335</v>
      </c>
      <c r="E81" s="70" t="e">
        <f ca="1">IF(E77&gt;'Floc, Mec'!C64,"deve recalcular a cortina ou o floculador, pois o floculador mecânico trabalha com gradiente menor na última câmara","ok")</f>
        <v>#NAME?</v>
      </c>
      <c r="F81" s="70"/>
      <c r="G81" s="70"/>
      <c r="H81" s="70"/>
      <c r="I81" s="70"/>
      <c r="J81" s="70"/>
      <c r="K81" s="70"/>
      <c r="N81" s="3" t="s">
        <v>336</v>
      </c>
      <c r="O81" s="75" t="e">
        <f ca="1">0.25/O79</f>
        <v>#NAME?</v>
      </c>
      <c r="Q81" s="3" t="s">
        <v>336</v>
      </c>
      <c r="R81" s="75" t="e">
        <f ca="1">0.25/R79</f>
        <v>#NAME?</v>
      </c>
    </row>
    <row r="82" spans="4:18" ht="12.75">
      <c r="E82" s="70" t="e">
        <f ca="1">IF(E77&gt;'Floc, Hid'!I86,"deve recalcular a cortina ou o floculador, pois o floculador hidráulico trabalha com gradiente menor na última câmara","ok")</f>
        <v>#NAME?</v>
      </c>
      <c r="F82" s="70"/>
      <c r="G82" s="70"/>
      <c r="H82" s="70"/>
      <c r="I82" s="70"/>
      <c r="J82" s="70"/>
      <c r="K82" s="7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Determinação da Calha Parshall</vt:lpstr>
      <vt:lpstr>MR, CP</vt:lpstr>
      <vt:lpstr>C coag</vt:lpstr>
      <vt:lpstr>Floc, Hid</vt:lpstr>
      <vt:lpstr>Floc, Mec</vt:lpstr>
      <vt:lpstr>Layout</vt:lpstr>
      <vt:lpstr>Decant conv</vt:lpstr>
      <vt:lpstr>Calha coleta, decant conv</vt:lpstr>
      <vt:lpstr>Cortina difusora Floc-Decant</vt:lpstr>
      <vt:lpstr>Recalc Cortina difusora Floc-De</vt:lpstr>
      <vt:lpstr>Decant laminar, NBR</vt:lpstr>
      <vt:lpstr>Decant laminar, design</vt:lpstr>
      <vt:lpstr>Sheet2</vt:lpstr>
      <vt:lpstr>__RiskSolver__</vt:lpstr>
      <vt:lpstr>__Solver__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Santos</cp:lastModifiedBy>
  <dcterms:modified xsi:type="dcterms:W3CDTF">2020-06-10T21:37:56Z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eb049046-07f8-4336-ba10-a0ec0e4809ea</vt:lpwstr>
  </property>
</Properties>
</file>