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oulke\Documents\Files\Current Projects\Kernza\Kernza_model_files_2023\"/>
    </mc:Choice>
  </mc:AlternateContent>
  <xr:revisionPtr revIDLastSave="0" documentId="13_ncr:1_{DE838554-0EDF-41FA-8BCD-85354512EBE1}" xr6:coauthVersionLast="47" xr6:coauthVersionMax="47" xr10:uidLastSave="{00000000-0000-0000-0000-000000000000}"/>
  <bookViews>
    <workbookView xWindow="2177" yWindow="1063" windowWidth="28192" windowHeight="15214" xr2:uid="{00000000-000D-0000-FFFF-FFFF00000000}"/>
  </bookViews>
  <sheets>
    <sheet name="Kernza" sheetId="1" r:id="rId1"/>
    <sheet name="Wheat" sheetId="3" r:id="rId2"/>
    <sheet name="Ref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8" i="1"/>
  <c r="L11" i="1"/>
  <c r="L26" i="1"/>
  <c r="D8" i="1"/>
  <c r="D11" i="1"/>
  <c r="D26" i="1"/>
  <c r="F8" i="1"/>
  <c r="F7" i="1"/>
  <c r="F11" i="1"/>
  <c r="F67" i="1"/>
  <c r="F68" i="1"/>
  <c r="F18" i="1"/>
  <c r="F23" i="1"/>
  <c r="F26" i="1"/>
  <c r="H8" i="1"/>
  <c r="H11" i="1"/>
  <c r="H26" i="1"/>
  <c r="J8" i="1"/>
  <c r="J11" i="1"/>
  <c r="J18" i="1"/>
  <c r="J23" i="1"/>
  <c r="J26" i="1"/>
  <c r="N26" i="1"/>
  <c r="L25" i="1"/>
  <c r="D25" i="1"/>
  <c r="F22" i="1"/>
  <c r="F25" i="1"/>
  <c r="H25" i="1"/>
  <c r="J22" i="1"/>
  <c r="J25" i="1"/>
  <c r="N25" i="1"/>
  <c r="H23" i="1"/>
  <c r="L23" i="1"/>
  <c r="D23" i="1"/>
  <c r="H22" i="1"/>
  <c r="L22" i="1"/>
  <c r="D22" i="1"/>
  <c r="J72" i="1"/>
  <c r="H72" i="1"/>
  <c r="J74" i="1"/>
  <c r="H74" i="1"/>
  <c r="J75" i="1"/>
  <c r="H75" i="1"/>
  <c r="H81" i="1"/>
  <c r="L20" i="1"/>
  <c r="F72" i="1"/>
  <c r="F74" i="1"/>
  <c r="F75" i="1"/>
  <c r="F81" i="1"/>
  <c r="J20" i="1"/>
  <c r="F20" i="1"/>
  <c r="H20" i="1"/>
  <c r="D72" i="1"/>
  <c r="D74" i="1"/>
  <c r="D75" i="1"/>
  <c r="D81" i="1"/>
  <c r="D20" i="1"/>
  <c r="J76" i="1"/>
  <c r="H76" i="1"/>
  <c r="H77" i="1"/>
  <c r="L19" i="1"/>
  <c r="F76" i="1"/>
  <c r="F77" i="1"/>
  <c r="J19" i="1"/>
  <c r="F19" i="1"/>
  <c r="H19" i="1"/>
  <c r="D76" i="1"/>
  <c r="D77" i="1"/>
  <c r="D19" i="1"/>
  <c r="L40" i="1"/>
  <c r="J40" i="1"/>
  <c r="F40" i="1"/>
  <c r="F43" i="1"/>
  <c r="F49" i="1"/>
  <c r="J53" i="1"/>
  <c r="F53" i="1"/>
  <c r="J57" i="1"/>
  <c r="F57" i="1"/>
  <c r="J58" i="1"/>
  <c r="F58" i="1"/>
  <c r="J60" i="1"/>
  <c r="F60" i="1"/>
  <c r="F61" i="1"/>
  <c r="J64" i="1"/>
  <c r="F64" i="1"/>
  <c r="J65" i="1"/>
  <c r="F65" i="1"/>
  <c r="J66" i="1"/>
  <c r="F66" i="1"/>
  <c r="J67" i="1"/>
  <c r="F82" i="1"/>
  <c r="J56" i="1"/>
  <c r="H56" i="1"/>
  <c r="H57" i="1"/>
  <c r="H58" i="1"/>
  <c r="H61" i="1"/>
  <c r="H64" i="1"/>
  <c r="H68" i="1"/>
  <c r="H82" i="1"/>
  <c r="F78" i="1"/>
  <c r="H78" i="1"/>
  <c r="H79" i="1"/>
  <c r="H83" i="1"/>
  <c r="F83" i="1"/>
  <c r="J36" i="1"/>
  <c r="D36" i="1"/>
  <c r="D40" i="1"/>
  <c r="L41" i="1"/>
  <c r="J41" i="1"/>
  <c r="D41" i="1"/>
  <c r="L42" i="1"/>
  <c r="J42" i="1"/>
  <c r="D42" i="1"/>
  <c r="D43" i="1"/>
  <c r="J46" i="1"/>
  <c r="D46" i="1"/>
  <c r="J47" i="1"/>
  <c r="D47" i="1"/>
  <c r="J48" i="1"/>
  <c r="D48" i="1"/>
  <c r="D49" i="1"/>
  <c r="J52" i="1"/>
  <c r="D52" i="1"/>
  <c r="D53" i="1"/>
  <c r="J54" i="1"/>
  <c r="D54" i="1"/>
  <c r="J55" i="1"/>
  <c r="D55" i="1"/>
  <c r="D61" i="1"/>
  <c r="D68" i="1"/>
  <c r="D82" i="1"/>
  <c r="D78" i="1"/>
  <c r="D83" i="1"/>
  <c r="F79" i="1"/>
  <c r="D79" i="1"/>
  <c r="O76" i="1"/>
  <c r="M74" i="1"/>
  <c r="Z71" i="1"/>
  <c r="Z72" i="1"/>
  <c r="Z73" i="1"/>
  <c r="L73" i="1"/>
  <c r="J33" i="1"/>
  <c r="J73" i="1"/>
  <c r="F79" i="3"/>
  <c r="L47" i="3"/>
  <c r="J47" i="3"/>
  <c r="H47" i="3"/>
  <c r="F47" i="3"/>
  <c r="F48" i="3"/>
  <c r="J53" i="3"/>
  <c r="L53" i="3"/>
  <c r="H53" i="3"/>
  <c r="F53" i="3"/>
  <c r="F60" i="3"/>
  <c r="F80" i="3"/>
  <c r="F81" i="3"/>
  <c r="L38" i="3"/>
  <c r="H38" i="3"/>
  <c r="D38" i="3"/>
  <c r="J39" i="3"/>
  <c r="L39" i="3"/>
  <c r="H39" i="3"/>
  <c r="D39" i="3"/>
  <c r="J40" i="3"/>
  <c r="L40" i="3"/>
  <c r="H40" i="3"/>
  <c r="D40" i="3"/>
  <c r="J41" i="3"/>
  <c r="L41" i="3"/>
  <c r="H41" i="3"/>
  <c r="D41" i="3"/>
  <c r="D42" i="3"/>
  <c r="J45" i="3"/>
  <c r="L45" i="3"/>
  <c r="H45" i="3"/>
  <c r="D45" i="3"/>
  <c r="J46" i="3"/>
  <c r="L46" i="3"/>
  <c r="H46" i="3"/>
  <c r="D46" i="3"/>
  <c r="D47" i="3"/>
  <c r="D48" i="3"/>
  <c r="J51" i="3"/>
  <c r="L51" i="3"/>
  <c r="H51" i="3"/>
  <c r="D51" i="3"/>
  <c r="J52" i="3"/>
  <c r="L52" i="3"/>
  <c r="H52" i="3"/>
  <c r="D52" i="3"/>
  <c r="D53" i="3"/>
  <c r="J54" i="3"/>
  <c r="L54" i="3"/>
  <c r="H54" i="3"/>
  <c r="D54" i="3"/>
  <c r="J59" i="3"/>
  <c r="L59" i="3"/>
  <c r="H59" i="3"/>
  <c r="D59" i="3"/>
  <c r="D60" i="3"/>
  <c r="J63" i="3"/>
  <c r="L63" i="3"/>
  <c r="H63" i="3"/>
  <c r="D63" i="3"/>
  <c r="D67" i="3"/>
  <c r="D80" i="3"/>
  <c r="D81" i="3"/>
  <c r="D79" i="3"/>
  <c r="F76" i="3"/>
  <c r="F77" i="3"/>
  <c r="D76" i="3"/>
  <c r="D77" i="3"/>
  <c r="F75" i="3"/>
  <c r="D75" i="3"/>
  <c r="F72" i="3"/>
  <c r="D72" i="3"/>
  <c r="H72" i="3"/>
  <c r="X69" i="3"/>
  <c r="X70" i="3"/>
  <c r="X71" i="3"/>
  <c r="H73" i="3"/>
  <c r="D73" i="3"/>
  <c r="H70" i="3"/>
  <c r="F70" i="3"/>
  <c r="F42" i="3"/>
  <c r="F67" i="3"/>
  <c r="H74" i="3"/>
  <c r="F74" i="3"/>
  <c r="F18" i="3"/>
  <c r="D70" i="3"/>
  <c r="H35" i="3"/>
  <c r="D35" i="3"/>
  <c r="D74" i="3"/>
  <c r="D18" i="3"/>
  <c r="F12" i="3"/>
  <c r="F13" i="3"/>
  <c r="F14" i="3"/>
  <c r="F15" i="3"/>
  <c r="F16" i="3"/>
  <c r="F20" i="3"/>
  <c r="D12" i="3"/>
  <c r="D13" i="3"/>
  <c r="D14" i="3"/>
  <c r="D15" i="3"/>
  <c r="D16" i="3"/>
  <c r="D20" i="3"/>
  <c r="F73" i="3"/>
  <c r="L18" i="1"/>
  <c r="H14" i="1"/>
  <c r="H15" i="1"/>
  <c r="H16" i="1"/>
  <c r="H17" i="1"/>
  <c r="H18" i="1"/>
  <c r="F14" i="1"/>
  <c r="D18" i="1"/>
  <c r="J71" i="3"/>
  <c r="H71" i="3"/>
  <c r="J32" i="3"/>
  <c r="F10" i="3"/>
  <c r="L32" i="3"/>
  <c r="D32" i="3"/>
  <c r="H31" i="3"/>
  <c r="D31" i="3"/>
  <c r="D10" i="3"/>
  <c r="F24" i="3"/>
  <c r="F8" i="3"/>
  <c r="F6" i="3"/>
  <c r="F9" i="3"/>
  <c r="F7" i="3"/>
  <c r="D9" i="3"/>
  <c r="D7" i="3"/>
  <c r="D8" i="3"/>
  <c r="H32" i="3"/>
  <c r="K32" i="3"/>
  <c r="V32" i="3"/>
  <c r="V34" i="3"/>
  <c r="X34" i="3"/>
  <c r="F9" i="1"/>
  <c r="F33" i="1"/>
  <c r="F10" i="1"/>
  <c r="J32" i="1"/>
  <c r="F15" i="1"/>
  <c r="F16" i="1"/>
  <c r="F17" i="1"/>
  <c r="H33" i="1"/>
  <c r="H10" i="1"/>
  <c r="J10" i="1"/>
  <c r="J14" i="1"/>
  <c r="J15" i="1"/>
  <c r="J16" i="1"/>
  <c r="J17" i="1"/>
  <c r="L10" i="1"/>
  <c r="L14" i="1"/>
  <c r="L15" i="1"/>
  <c r="L16" i="1"/>
  <c r="L17" i="1"/>
  <c r="D10" i="1"/>
  <c r="D14" i="1"/>
  <c r="D15" i="1"/>
  <c r="D16" i="1"/>
  <c r="D17" i="1"/>
  <c r="D6" i="3"/>
  <c r="J6" i="1"/>
  <c r="F6" i="1"/>
  <c r="K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M74" i="3"/>
  <c r="K72" i="3"/>
  <c r="K31" i="3"/>
  <c r="M31" i="3"/>
  <c r="M32" i="3"/>
  <c r="M35" i="3"/>
  <c r="K38" i="3"/>
  <c r="M38" i="3"/>
  <c r="K39" i="3"/>
  <c r="M39" i="3"/>
  <c r="K40" i="3"/>
  <c r="M40" i="3"/>
  <c r="K41" i="3"/>
  <c r="M41" i="3"/>
  <c r="K45" i="3"/>
  <c r="M45" i="3"/>
  <c r="K46" i="3"/>
  <c r="M46" i="3"/>
  <c r="K47" i="3"/>
  <c r="M47" i="3"/>
  <c r="K51" i="3"/>
  <c r="M51" i="3"/>
  <c r="K52" i="3"/>
  <c r="M52" i="3"/>
  <c r="K53" i="3"/>
  <c r="M53" i="3"/>
  <c r="K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K59" i="3"/>
  <c r="M59" i="3"/>
  <c r="L29" i="3"/>
  <c r="H55" i="3"/>
  <c r="H56" i="3"/>
  <c r="H57" i="3"/>
  <c r="H64" i="3"/>
  <c r="H65" i="3"/>
  <c r="H66" i="3"/>
  <c r="H58" i="3"/>
  <c r="V50" i="1"/>
  <c r="F32" i="1"/>
  <c r="J59" i="1"/>
  <c r="J39" i="1"/>
  <c r="H29" i="1"/>
  <c r="F29" i="1"/>
  <c r="D29" i="1"/>
  <c r="D24" i="3"/>
  <c r="F19" i="3"/>
  <c r="F21" i="3"/>
  <c r="F25" i="3"/>
  <c r="D19" i="3"/>
  <c r="D21" i="3"/>
  <c r="D25" i="3"/>
</calcChain>
</file>

<file path=xl/sharedStrings.xml><?xml version="1.0" encoding="utf-8"?>
<sst xmlns="http://schemas.openxmlformats.org/spreadsheetml/2006/main" count="325" uniqueCount="172">
  <si>
    <t>Per Acre</t>
  </si>
  <si>
    <t>REVENUE</t>
  </si>
  <si>
    <t>Price per unit</t>
  </si>
  <si>
    <t>Total Revenue</t>
  </si>
  <si>
    <t>COSTS</t>
  </si>
  <si>
    <t>Seed</t>
  </si>
  <si>
    <t>Fertilizer</t>
  </si>
  <si>
    <t>Crop chemicals</t>
  </si>
  <si>
    <t>NH3</t>
  </si>
  <si>
    <t>urea</t>
  </si>
  <si>
    <t>P2O5</t>
  </si>
  <si>
    <t>K2O</t>
  </si>
  <si>
    <t>Application</t>
  </si>
  <si>
    <t>Fallow</t>
  </si>
  <si>
    <t>Year 1</t>
  </si>
  <si>
    <t>Year 2</t>
  </si>
  <si>
    <t>Year 3</t>
  </si>
  <si>
    <t>Year 4</t>
  </si>
  <si>
    <t>Year 0</t>
  </si>
  <si>
    <t>Establishment</t>
  </si>
  <si>
    <t>Hay</t>
  </si>
  <si>
    <t>Grain</t>
  </si>
  <si>
    <t>updated-sep23</t>
  </si>
  <si>
    <t xml:space="preserve">Adapted from original budget by Jake Yunger </t>
  </si>
  <si>
    <t>Modified and updated for Southeast Wyoming by Thomas Foulke, October 2023</t>
  </si>
  <si>
    <t>Farm operating loan interest rate:</t>
  </si>
  <si>
    <t>Source: USDA as of March, 2023</t>
  </si>
  <si>
    <t>Yield per acre, secondary product, hay/tons</t>
  </si>
  <si>
    <t>Market prices</t>
  </si>
  <si>
    <t>gal</t>
  </si>
  <si>
    <t>Price</t>
  </si>
  <si>
    <t>$/ac</t>
  </si>
  <si>
    <t>lb</t>
  </si>
  <si>
    <t>ton</t>
  </si>
  <si>
    <t xml:space="preserve">   Seed</t>
  </si>
  <si>
    <t xml:space="preserve">   Hay, price per ton</t>
  </si>
  <si>
    <t xml:space="preserve">   Grain price, cleaned, de-hulled</t>
  </si>
  <si>
    <t xml:space="preserve">   2, 4 D herbicide (1.5 gal/ac)</t>
  </si>
  <si>
    <t xml:space="preserve">   Dual Magnum (S-metolachlor), (1 pt/ac)</t>
  </si>
  <si>
    <t>50lb</t>
  </si>
  <si>
    <t>15lb</t>
  </si>
  <si>
    <t>35lb</t>
  </si>
  <si>
    <t>tons</t>
  </si>
  <si>
    <t>Machinery (including labor)</t>
  </si>
  <si>
    <t>ea</t>
  </si>
  <si>
    <t>ac</t>
  </si>
  <si>
    <t>bu</t>
  </si>
  <si>
    <t>bu/ac</t>
  </si>
  <si>
    <t>Total Machinery and labor cost:</t>
  </si>
  <si>
    <t>Total chemical cost:</t>
  </si>
  <si>
    <t>Total transportation costs:</t>
  </si>
  <si>
    <t>Total fertilizers cost</t>
  </si>
  <si>
    <t xml:space="preserve">   Roundup (pre-establishment) (1qt/ac)</t>
  </si>
  <si>
    <t>Production Input costs :</t>
  </si>
  <si>
    <t xml:space="preserve">   Chisel Plow 37 Ft</t>
  </si>
  <si>
    <t xml:space="preserve">   Fertilizer, liquid constant rate application</t>
  </si>
  <si>
    <t xml:space="preserve">   Field Cultivator  60 Ft (times 2 passes)</t>
  </si>
  <si>
    <t xml:space="preserve">   Presswheel Drill  30 Ft</t>
  </si>
  <si>
    <t xml:space="preserve">   Rotary Mow/Cond 12 Ft</t>
  </si>
  <si>
    <t xml:space="preserve">   Hay Rake (Wheel, 2-16') 30 Ft</t>
  </si>
  <si>
    <t xml:space="preserve">   Rd Baler/Wrap 5x6 , 20 Ft</t>
  </si>
  <si>
    <t xml:space="preserve">   Corn Head for SP Harvstr Base 6 Row, 15 Ft</t>
  </si>
  <si>
    <t xml:space="preserve">   Combine Rigid Platform 30 Ft</t>
  </si>
  <si>
    <t xml:space="preserve">   Loading and hauling round bales (1,000lb ea)</t>
  </si>
  <si>
    <t xml:space="preserve">   Hauling grain to dehuller (40lb bu)</t>
  </si>
  <si>
    <t xml:space="preserve">   Hauling grain from dehuller (60lb bu)</t>
  </si>
  <si>
    <t>NPV</t>
  </si>
  <si>
    <r>
      <t>Machinery operation and Labor costs</t>
    </r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:</t>
    </r>
  </si>
  <si>
    <r>
      <t>Transportation costs</t>
    </r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:</t>
    </r>
  </si>
  <si>
    <r>
      <t xml:space="preserve">1. Machinery, operation and transportation price data source: </t>
    </r>
    <r>
      <rPr>
        <i/>
        <sz val="12"/>
        <color theme="1"/>
        <rFont val="Times New Roman"/>
        <family val="1"/>
      </rPr>
      <t>2022 Nebraska Farm Custom Rates</t>
    </r>
    <r>
      <rPr>
        <sz val="12"/>
        <color theme="1"/>
        <rFont val="Times New Roman"/>
        <family val="2"/>
      </rPr>
      <t xml:space="preserve"> (EC823). McClure, Glennis A. and Jim A. Jansen. University of Nebraska-Lincoln Extension. June 2022.</t>
    </r>
  </si>
  <si>
    <r>
      <t>Chemicals costs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:</t>
    </r>
  </si>
  <si>
    <r>
      <t>Fertilizer costs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:</t>
    </r>
  </si>
  <si>
    <t>2. Commodity and chemical price data from various internet sources</t>
  </si>
  <si>
    <t>Kernza production model with comparisons to wheat-fallow and dryland pasture, southeastern Wyoming</t>
  </si>
  <si>
    <t>(cash/partial)</t>
  </si>
  <si>
    <t>Annual operations</t>
  </si>
  <si>
    <t>I. Kernza summary costs and returns (4-year stand)</t>
  </si>
  <si>
    <t>lbs</t>
  </si>
  <si>
    <t xml:space="preserve">   Cleaning &amp; Dehulling costs (per pound)</t>
  </si>
  <si>
    <t>Interest on operating loan (6 months)</t>
  </si>
  <si>
    <t>year</t>
  </si>
  <si>
    <t>pct</t>
  </si>
  <si>
    <t>three passes, one for each herbicide</t>
  </si>
  <si>
    <r>
      <t>Land rent</t>
    </r>
    <r>
      <rPr>
        <vertAlign val="superscript"/>
        <sz val="12"/>
        <color theme="1"/>
        <rFont val="Times New Roman"/>
        <family val="1"/>
      </rPr>
      <t>3</t>
    </r>
  </si>
  <si>
    <t>3. Wyoming cash rents, USDA, National Agricultural Statistics Service, Quickstats, 2022.</t>
  </si>
  <si>
    <t>USDA - National Agricultural Statistics Service - Surveys - Cash Rents</t>
  </si>
  <si>
    <t>Net present value over four years using 4.75 pct interest rate</t>
  </si>
  <si>
    <t>Adapted from original budget by Brian Lee, John Ritten and Thomas Foulke</t>
  </si>
  <si>
    <t>Crop Enterprise Budget: Conventional Dryland Winter Wheat/Fallow Rotation, Goshen County, Wyoming (wyoextension.org)</t>
  </si>
  <si>
    <t>*</t>
  </si>
  <si>
    <t>Ia. Prices, production costs</t>
  </si>
  <si>
    <t>NH3 (11-52-0) 25lbs/ac</t>
  </si>
  <si>
    <t>urea (28-00-5)  8gal/ac</t>
  </si>
  <si>
    <t>three liquid applications</t>
  </si>
  <si>
    <t>Two passes for grain; three for fallow</t>
  </si>
  <si>
    <t>IIa. Prices, production costs</t>
  </si>
  <si>
    <t xml:space="preserve">II. Wheat-Fallow summary costs and returns </t>
  </si>
  <si>
    <r>
      <t xml:space="preserve">   </t>
    </r>
    <r>
      <rPr>
        <sz val="12"/>
        <color theme="1"/>
        <rFont val="Times New Roman"/>
        <family val="1"/>
      </rPr>
      <t>Harvested grain (hulled)</t>
    </r>
  </si>
  <si>
    <t>50% loss from cleaning and dehulling</t>
  </si>
  <si>
    <t>Yield per acre, (cleaned, de-hulled grain, lbs.)</t>
  </si>
  <si>
    <t>Updated Sep23</t>
  </si>
  <si>
    <t>??</t>
  </si>
  <si>
    <t xml:space="preserve">   Harvested grain (lbs/ac)</t>
  </si>
  <si>
    <t>lbs/bu</t>
  </si>
  <si>
    <t>average</t>
  </si>
  <si>
    <t>Source: USDA Quickstats</t>
  </si>
  <si>
    <t>Wyoming statewide wheat yield</t>
  </si>
  <si>
    <t>Unit</t>
  </si>
  <si>
    <t>Rate</t>
  </si>
  <si>
    <t xml:space="preserve">  straw, (yield, 1 ton/ac)</t>
  </si>
  <si>
    <t>Grain yield (lbs/ac)</t>
  </si>
  <si>
    <t>Straw yield (tons/ac)</t>
  </si>
  <si>
    <t xml:space="preserve">   Grain price ($/lb)</t>
  </si>
  <si>
    <t xml:space="preserve">   Seed (lbs)</t>
  </si>
  <si>
    <t xml:space="preserve">   Straw price ($/ton)</t>
  </si>
  <si>
    <t>Transportation &amp; handling</t>
  </si>
  <si>
    <t>Taxes</t>
  </si>
  <si>
    <t>2023 Western Nebraska dryland cropland value</t>
  </si>
  <si>
    <t>Administrative services (accounting &amp; mgmt)</t>
  </si>
  <si>
    <t>Administration and overhead</t>
  </si>
  <si>
    <t>Crop insurance</t>
  </si>
  <si>
    <t>per acre estimate</t>
  </si>
  <si>
    <t>not used here (source:Agweb)</t>
  </si>
  <si>
    <t>Transportation</t>
  </si>
  <si>
    <t>2023 NW Nebraska dryland cropland rental rate</t>
  </si>
  <si>
    <t>Included for rented land only</t>
  </si>
  <si>
    <t>Included for owned land only</t>
  </si>
  <si>
    <t>Administation &amp; overhead (rented)</t>
  </si>
  <si>
    <t>Administation &amp; overhead (owned)</t>
  </si>
  <si>
    <t>Total cost (owned, including tax &amp; interest):</t>
  </si>
  <si>
    <t>Administration &amp; overhead</t>
  </si>
  <si>
    <t xml:space="preserve">   For rented land</t>
  </si>
  <si>
    <t xml:space="preserve">   For owned land</t>
  </si>
  <si>
    <t>Total Listed Costs (rented)</t>
  </si>
  <si>
    <t xml:space="preserve">   Total Listed Costs (owned)</t>
  </si>
  <si>
    <t xml:space="preserve">   Net returns (owned)</t>
  </si>
  <si>
    <t>Net Returns</t>
  </si>
  <si>
    <t xml:space="preserve">   Net returns (rented)</t>
  </si>
  <si>
    <t>Costs</t>
  </si>
  <si>
    <t>Revenue</t>
  </si>
  <si>
    <t>Operating loan</t>
  </si>
  <si>
    <t>annual</t>
  </si>
  <si>
    <t>interest</t>
  </si>
  <si>
    <t>for half a year</t>
  </si>
  <si>
    <t>per acre based on 1000ac farm</t>
  </si>
  <si>
    <t>based on $30k loan, current interest rate and 1000ac farm</t>
  </si>
  <si>
    <t>sub-total (rented) less administration and overhead:</t>
  </si>
  <si>
    <t>Total cost (rented):</t>
  </si>
  <si>
    <t>sub-total (owned land) less administratio and overhead:</t>
  </si>
  <si>
    <t>Administration &amp; overhead (rented)</t>
  </si>
  <si>
    <t>Administration &amp; overhead (owned)</t>
  </si>
  <si>
    <t>Total costs (rented)</t>
  </si>
  <si>
    <t>Total costs (owned)</t>
  </si>
  <si>
    <t>Net returns (rented)</t>
  </si>
  <si>
    <t>Net returns (owned)</t>
  </si>
  <si>
    <t xml:space="preserve">III.References </t>
  </si>
  <si>
    <r>
      <t xml:space="preserve">Jansen, Jim and Jeffery Stokes. </t>
    </r>
    <r>
      <rPr>
        <i/>
        <sz val="12"/>
        <color theme="1"/>
        <rFont val="Times New Roman"/>
        <family val="1"/>
      </rPr>
      <t xml:space="preserve">Nebraska Farmland Values and Cash Rents in 2023. </t>
    </r>
  </si>
  <si>
    <t xml:space="preserve">USDA, National Agricultural Statistics Service, Quickstats, 2022. Wyoming cash rents. </t>
  </si>
  <si>
    <t>Accessed: September, 2023</t>
  </si>
  <si>
    <t xml:space="preserve">University of Nebraska, Institute if Agriculture and Natural Resources, Agricultural Economics. Lincoln, Nebraska. Cornhusker Economics, March 15,2023. </t>
  </si>
  <si>
    <r>
      <t>Lee, Brian, John Ritten and Thomas Foulke.</t>
    </r>
    <r>
      <rPr>
        <i/>
        <sz val="12"/>
        <color theme="1"/>
        <rFont val="Times New Roman"/>
        <family val="1"/>
      </rPr>
      <t>Conventional Dryland Winter Wheat/Fallow Rotation, Goshen County,Wyoming.</t>
    </r>
    <r>
      <rPr>
        <sz val="12"/>
        <color theme="1"/>
        <rFont val="Times New Roman"/>
        <family val="1"/>
      </rPr>
      <t xml:space="preserve"> </t>
    </r>
  </si>
  <si>
    <t>University of Wyoming Extension. Laramie, Wyoming. B-1315.5. May 2018.</t>
  </si>
  <si>
    <t>Grower-guide_final.pdf (kernza.org)</t>
  </si>
  <si>
    <r>
      <t xml:space="preserve">Tautges, Nicole, Alison Detjens, and Jacob Jungers. </t>
    </r>
    <r>
      <rPr>
        <i/>
        <sz val="12"/>
        <color theme="1"/>
        <rFont val="Times New Roman"/>
        <family val="1"/>
      </rPr>
      <t>Kernza Grower Guide.</t>
    </r>
  </si>
  <si>
    <t>Acessed: October, 2023</t>
  </si>
  <si>
    <t>University of Minnesota, College of Food, Agriculture and Natural Resources, Forever Green Initiative. Minneapolis, Minnesota. May, 2023.</t>
  </si>
  <si>
    <t>Jungers, Jacob. Kernza costs and returns, Unpublished Excel Spreadsheet</t>
  </si>
  <si>
    <r>
      <t xml:space="preserve">McClure, Glennis A. and Jim A. Jansen. </t>
    </r>
    <r>
      <rPr>
        <i/>
        <sz val="12"/>
        <color theme="1"/>
        <rFont val="Times New Roman"/>
        <family val="1"/>
      </rPr>
      <t>2022 Nebraska Farm Custom Rates (EC823)</t>
    </r>
    <r>
      <rPr>
        <sz val="12"/>
        <color theme="1"/>
        <rFont val="Times New Roman"/>
        <family val="1"/>
      </rPr>
      <t>. University of Nebraska-Lincoln Extension. Revised June, 2022.</t>
    </r>
  </si>
  <si>
    <t>ec823.pdf (unl.edu)</t>
  </si>
  <si>
    <t>Nebraska Farmland Values and Cash Rental Rates in 2023 | Agricultural Economics (unl.edu)</t>
  </si>
  <si>
    <t>USDA - National Agricultural Statistics Service - Quick Stats</t>
  </si>
  <si>
    <t>Accessed: September,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</si>
</sst>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&quot;$&quot;* #,##0_);_(&quot;$&quot;* \(#,##0\);_(&quot;$&quot;* &quot;-&quot;??_);_(@_)"/>
    <numFmt numFmtId="167" formatCode="_-&quot;$&quot;* #,##0.00_-;\-&quot;$&quot;* #,##0.00_-;_-&quot;$&quot;* &quot;-&quot;??_-;_-@_-"/>
    <numFmt numFmtId="168" formatCode="0.0_);\(0.0\)"/>
    <numFmt numFmtId="169" formatCode="0_);\(0\)"/>
    <numFmt numFmtId="170" formatCode="&quot;$&quot;#,##0.00"/>
    <numFmt numFmtId="172" formatCode="&quot;$&quot;#,##0"/>
  </numFmts>
  <fonts count="22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20"/>
      <color rgb="FF0000FF"/>
      <name val="Times New Roman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0000FF"/>
      <name val="Times New Roman"/>
      <family val="1"/>
    </font>
    <font>
      <sz val="8"/>
      <name val="Times New Roman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9" tint="-0.249977111117893"/>
      <name val="Times New Roman"/>
      <family val="1"/>
    </font>
    <font>
      <i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FF0000"/>
      <name val="Times New Roman"/>
      <family val="2"/>
    </font>
    <font>
      <b/>
      <sz val="12"/>
      <name val="Times New Roman"/>
      <family val="1"/>
    </font>
    <font>
      <vertAlign val="superscript"/>
      <sz val="12"/>
      <color theme="1"/>
      <name val="Times New Roman"/>
      <family val="1"/>
    </font>
    <font>
      <u/>
      <sz val="11"/>
      <color theme="10"/>
      <name val="Times New Roman"/>
      <family val="2"/>
    </font>
    <font>
      <sz val="12"/>
      <name val="Times New Roman"/>
      <family val="1"/>
    </font>
    <font>
      <u/>
      <sz val="12"/>
      <color theme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1"/>
      </left>
      <right style="dotted">
        <color theme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dotted">
        <color theme="1"/>
      </left>
      <right style="dotted">
        <color theme="1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tted">
        <color theme="1"/>
      </left>
      <right style="dotted">
        <color theme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tted">
        <color theme="1"/>
      </left>
      <right style="dotted">
        <color theme="1"/>
      </right>
      <top/>
      <bottom style="thin">
        <color indexed="64"/>
      </bottom>
      <diagonal/>
    </border>
    <border>
      <left style="dotted">
        <color theme="1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30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166" fontId="6" fillId="0" borderId="0" xfId="2" applyNumberFormat="1" applyFont="1" applyFill="1" applyBorder="1"/>
    <xf numFmtId="168" fontId="3" fillId="0" borderId="0" xfId="0" applyNumberFormat="1" applyFont="1"/>
    <xf numFmtId="0" fontId="3" fillId="2" borderId="2" xfId="0" applyFont="1" applyFill="1" applyBorder="1"/>
    <xf numFmtId="169" fontId="5" fillId="0" borderId="0" xfId="2" applyNumberFormat="1" applyFont="1" applyFill="1" applyBorder="1" applyAlignment="1" applyProtection="1">
      <alignment horizontal="right"/>
      <protection locked="0"/>
    </xf>
    <xf numFmtId="170" fontId="5" fillId="0" borderId="0" xfId="2" applyNumberFormat="1" applyFont="1" applyFill="1" applyBorder="1" applyAlignment="1" applyProtection="1">
      <alignment horizontal="right"/>
      <protection locked="0"/>
    </xf>
    <xf numFmtId="0" fontId="3" fillId="0" borderId="4" xfId="0" applyFont="1" applyBorder="1"/>
    <xf numFmtId="0" fontId="7" fillId="0" borderId="0" xfId="0" applyFont="1"/>
    <xf numFmtId="0" fontId="3" fillId="2" borderId="9" xfId="0" applyFont="1" applyFill="1" applyBorder="1"/>
    <xf numFmtId="0" fontId="10" fillId="2" borderId="1" xfId="0" applyFont="1" applyFill="1" applyBorder="1"/>
    <xf numFmtId="0" fontId="10" fillId="0" borderId="0" xfId="0" applyFont="1"/>
    <xf numFmtId="0" fontId="11" fillId="2" borderId="0" xfId="0" applyFont="1" applyFill="1"/>
    <xf numFmtId="0" fontId="10" fillId="2" borderId="3" xfId="0" applyFont="1" applyFill="1" applyBorder="1"/>
    <xf numFmtId="0" fontId="10" fillId="2" borderId="0" xfId="0" applyFont="1" applyFill="1" applyAlignment="1">
      <alignment horizontal="left" indent="1"/>
    </xf>
    <xf numFmtId="170" fontId="10" fillId="3" borderId="2" xfId="1" applyNumberFormat="1" applyFont="1" applyFill="1" applyBorder="1" applyAlignment="1" applyProtection="1">
      <alignment horizontal="right"/>
      <protection locked="0"/>
    </xf>
    <xf numFmtId="170" fontId="10" fillId="0" borderId="0" xfId="0" applyNumberFormat="1" applyFont="1"/>
    <xf numFmtId="170" fontId="10" fillId="3" borderId="2" xfId="2" applyNumberFormat="1" applyFont="1" applyFill="1" applyBorder="1" applyProtection="1">
      <protection locked="0"/>
    </xf>
    <xf numFmtId="0" fontId="11" fillId="2" borderId="0" xfId="0" applyFont="1" applyFill="1" applyAlignment="1">
      <alignment horizontal="left" indent="1"/>
    </xf>
    <xf numFmtId="170" fontId="11" fillId="2" borderId="3" xfId="2" applyNumberFormat="1" applyFont="1" applyFill="1" applyBorder="1"/>
    <xf numFmtId="0" fontId="10" fillId="2" borderId="0" xfId="0" applyFont="1" applyFill="1"/>
    <xf numFmtId="0" fontId="10" fillId="2" borderId="0" xfId="3" applyFont="1" applyFill="1" applyAlignment="1">
      <alignment horizontal="left" indent="1"/>
    </xf>
    <xf numFmtId="0" fontId="10" fillId="2" borderId="5" xfId="0" applyFont="1" applyFill="1" applyBorder="1"/>
    <xf numFmtId="0" fontId="10" fillId="0" borderId="5" xfId="0" applyFont="1" applyBorder="1"/>
    <xf numFmtId="0" fontId="11" fillId="2" borderId="7" xfId="0" applyFont="1" applyFill="1" applyBorder="1"/>
    <xf numFmtId="0" fontId="10" fillId="0" borderId="7" xfId="0" applyFont="1" applyBorder="1"/>
    <xf numFmtId="170" fontId="10" fillId="0" borderId="10" xfId="0" applyNumberFormat="1" applyFont="1" applyBorder="1"/>
    <xf numFmtId="2" fontId="10" fillId="3" borderId="2" xfId="1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/>
    <xf numFmtId="10" fontId="12" fillId="0" borderId="0" xfId="4" applyNumberFormat="1" applyFont="1"/>
    <xf numFmtId="2" fontId="10" fillId="3" borderId="2" xfId="1" applyNumberFormat="1" applyFont="1" applyFill="1" applyBorder="1" applyProtection="1">
      <protection locked="0"/>
    </xf>
    <xf numFmtId="170" fontId="10" fillId="0" borderId="2" xfId="2" applyNumberFormat="1" applyFont="1" applyFill="1" applyBorder="1" applyAlignment="1" applyProtection="1">
      <alignment horizontal="right"/>
      <protection locked="0"/>
    </xf>
    <xf numFmtId="44" fontId="10" fillId="0" borderId="2" xfId="2" applyFont="1" applyFill="1" applyBorder="1" applyProtection="1">
      <protection locked="0"/>
    </xf>
    <xf numFmtId="0" fontId="10" fillId="0" borderId="2" xfId="0" applyFont="1" applyBorder="1" applyProtection="1">
      <protection locked="0"/>
    </xf>
    <xf numFmtId="44" fontId="10" fillId="0" borderId="0" xfId="2" applyFont="1" applyFill="1" applyBorder="1" applyProtection="1">
      <protection locked="0"/>
    </xf>
    <xf numFmtId="0" fontId="0" fillId="0" borderId="2" xfId="0" applyBorder="1"/>
    <xf numFmtId="0" fontId="10" fillId="2" borderId="2" xfId="0" applyFont="1" applyFill="1" applyBorder="1"/>
    <xf numFmtId="170" fontId="10" fillId="0" borderId="2" xfId="0" applyNumberFormat="1" applyFont="1" applyBorder="1" applyAlignment="1" applyProtection="1">
      <alignment horizontal="right"/>
      <protection locked="0"/>
    </xf>
    <xf numFmtId="0" fontId="11" fillId="2" borderId="2" xfId="0" applyFont="1" applyFill="1" applyBorder="1" applyAlignment="1">
      <alignment horizontal="center" wrapText="1"/>
    </xf>
    <xf numFmtId="0" fontId="11" fillId="0" borderId="0" xfId="0" applyFont="1"/>
    <xf numFmtId="0" fontId="11" fillId="2" borderId="2" xfId="0" quotePrefix="1" applyFont="1" applyFill="1" applyBorder="1" applyAlignment="1">
      <alignment horizontal="center"/>
    </xf>
    <xf numFmtId="170" fontId="0" fillId="0" borderId="0" xfId="0" applyNumberFormat="1"/>
    <xf numFmtId="170" fontId="10" fillId="0" borderId="2" xfId="0" applyNumberFormat="1" applyFont="1" applyBorder="1" applyProtection="1">
      <protection locked="0"/>
    </xf>
    <xf numFmtId="170" fontId="10" fillId="0" borderId="2" xfId="2" applyNumberFormat="1" applyFont="1" applyFill="1" applyBorder="1" applyProtection="1">
      <protection locked="0"/>
    </xf>
    <xf numFmtId="170" fontId="10" fillId="0" borderId="11" xfId="2" applyNumberFormat="1" applyFont="1" applyFill="1" applyBorder="1" applyProtection="1">
      <protection locked="0"/>
    </xf>
    <xf numFmtId="0" fontId="9" fillId="0" borderId="2" xfId="0" applyFont="1" applyBorder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indent="1"/>
    </xf>
    <xf numFmtId="0" fontId="3" fillId="2" borderId="9" xfId="0" applyFont="1" applyFill="1" applyBorder="1" applyAlignment="1">
      <alignment horizontal="right"/>
    </xf>
    <xf numFmtId="0" fontId="11" fillId="2" borderId="2" xfId="0" applyFont="1" applyFill="1" applyBorder="1"/>
    <xf numFmtId="0" fontId="11" fillId="2" borderId="2" xfId="0" applyFont="1" applyFill="1" applyBorder="1" applyAlignment="1">
      <alignment horizontal="left"/>
    </xf>
    <xf numFmtId="0" fontId="11" fillId="3" borderId="2" xfId="0" applyFont="1" applyFill="1" applyBorder="1" applyAlignment="1" applyProtection="1">
      <alignment horizontal="center" wrapText="1"/>
      <protection locked="0"/>
    </xf>
    <xf numFmtId="0" fontId="9" fillId="0" borderId="0" xfId="0" applyFont="1" applyAlignment="1">
      <alignment horizontal="center"/>
    </xf>
    <xf numFmtId="0" fontId="13" fillId="0" borderId="10" xfId="0" applyFont="1" applyBorder="1"/>
    <xf numFmtId="0" fontId="3" fillId="2" borderId="2" xfId="0" applyFont="1" applyFill="1" applyBorder="1" applyProtection="1">
      <protection locked="0"/>
    </xf>
    <xf numFmtId="0" fontId="3" fillId="2" borderId="11" xfId="0" applyFont="1" applyFill="1" applyBorder="1"/>
    <xf numFmtId="0" fontId="3" fillId="0" borderId="10" xfId="0" applyFont="1" applyBorder="1"/>
    <xf numFmtId="0" fontId="11" fillId="2" borderId="2" xfId="0" applyFont="1" applyFill="1" applyBorder="1" applyProtection="1">
      <protection locked="0"/>
    </xf>
    <xf numFmtId="170" fontId="10" fillId="0" borderId="9" xfId="2" applyNumberFormat="1" applyFont="1" applyFill="1" applyBorder="1" applyAlignment="1" applyProtection="1">
      <alignment horizontal="right"/>
      <protection locked="0"/>
    </xf>
    <xf numFmtId="0" fontId="3" fillId="2" borderId="11" xfId="0" applyFont="1" applyFill="1" applyBorder="1" applyAlignment="1">
      <alignment horizontal="left" indent="1"/>
    </xf>
    <xf numFmtId="170" fontId="10" fillId="0" borderId="11" xfId="2" applyNumberFormat="1" applyFont="1" applyFill="1" applyBorder="1" applyAlignment="1" applyProtection="1">
      <alignment horizontal="right"/>
      <protection locked="0"/>
    </xf>
    <xf numFmtId="170" fontId="10" fillId="0" borderId="9" xfId="0" applyNumberFormat="1" applyFont="1" applyBorder="1"/>
    <xf numFmtId="0" fontId="3" fillId="2" borderId="9" xfId="0" applyFont="1" applyFill="1" applyBorder="1" applyAlignment="1">
      <alignment horizontal="left"/>
    </xf>
    <xf numFmtId="0" fontId="10" fillId="0" borderId="9" xfId="0" applyFont="1" applyBorder="1" applyProtection="1">
      <protection locked="0"/>
    </xf>
    <xf numFmtId="0" fontId="3" fillId="2" borderId="11" xfId="0" applyFont="1" applyFill="1" applyBorder="1" applyAlignment="1">
      <alignment horizontal="left"/>
    </xf>
    <xf numFmtId="170" fontId="10" fillId="0" borderId="11" xfId="0" applyNumberFormat="1" applyFont="1" applyBorder="1" applyProtection="1">
      <protection locked="0"/>
    </xf>
    <xf numFmtId="0" fontId="10" fillId="2" borderId="9" xfId="0" quotePrefix="1" applyFont="1" applyFill="1" applyBorder="1" applyAlignment="1">
      <alignment horizontal="center"/>
    </xf>
    <xf numFmtId="170" fontId="10" fillId="2" borderId="11" xfId="0" quotePrefix="1" applyNumberFormat="1" applyFont="1" applyFill="1" applyBorder="1" applyAlignment="1">
      <alignment horizontal="right"/>
    </xf>
    <xf numFmtId="170" fontId="10" fillId="0" borderId="0" xfId="2" applyNumberFormat="1" applyFont="1" applyFill="1" applyBorder="1" applyProtection="1">
      <protection locked="0"/>
    </xf>
    <xf numFmtId="170" fontId="10" fillId="4" borderId="9" xfId="2" applyNumberFormat="1" applyFont="1" applyFill="1" applyBorder="1" applyAlignment="1" applyProtection="1">
      <alignment horizontal="right"/>
      <protection locked="0"/>
    </xf>
    <xf numFmtId="170" fontId="10" fillId="4" borderId="0" xfId="0" applyNumberFormat="1" applyFont="1" applyFill="1" applyAlignment="1">
      <alignment horizontal="right"/>
    </xf>
    <xf numFmtId="170" fontId="10" fillId="4" borderId="2" xfId="2" applyNumberFormat="1" applyFont="1" applyFill="1" applyBorder="1" applyAlignment="1" applyProtection="1">
      <alignment horizontal="right"/>
      <protection locked="0"/>
    </xf>
    <xf numFmtId="0" fontId="10" fillId="4" borderId="0" xfId="0" applyFont="1" applyFill="1" applyAlignment="1">
      <alignment horizontal="right"/>
    </xf>
    <xf numFmtId="170" fontId="10" fillId="2" borderId="6" xfId="0" applyNumberFormat="1" applyFont="1" applyFill="1" applyBorder="1" applyAlignment="1">
      <alignment horizontal="right"/>
    </xf>
    <xf numFmtId="170" fontId="10" fillId="0" borderId="5" xfId="0" applyNumberFormat="1" applyFont="1" applyBorder="1" applyAlignment="1">
      <alignment horizontal="right"/>
    </xf>
    <xf numFmtId="170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0" fillId="2" borderId="6" xfId="0" applyFont="1" applyFill="1" applyBorder="1" applyAlignment="1">
      <alignment horizontal="right"/>
    </xf>
    <xf numFmtId="170" fontId="0" fillId="0" borderId="2" xfId="0" applyNumberFormat="1" applyBorder="1"/>
    <xf numFmtId="170" fontId="10" fillId="2" borderId="11" xfId="0" applyNumberFormat="1" applyFont="1" applyFill="1" applyBorder="1" applyAlignment="1">
      <alignment horizontal="center" wrapText="1"/>
    </xf>
    <xf numFmtId="170" fontId="0" fillId="0" borderId="11" xfId="0" applyNumberFormat="1" applyBorder="1"/>
    <xf numFmtId="170" fontId="10" fillId="2" borderId="9" xfId="0" applyNumberFormat="1" applyFont="1" applyFill="1" applyBorder="1" applyAlignment="1">
      <alignment horizontal="center" wrapText="1"/>
    </xf>
    <xf numFmtId="170" fontId="0" fillId="0" borderId="9" xfId="0" applyNumberFormat="1" applyBorder="1"/>
    <xf numFmtId="170" fontId="10" fillId="2" borderId="2" xfId="0" applyNumberFormat="1" applyFont="1" applyFill="1" applyBorder="1"/>
    <xf numFmtId="170" fontId="10" fillId="0" borderId="11" xfId="0" applyNumberFormat="1" applyFont="1" applyBorder="1" applyAlignment="1" applyProtection="1">
      <alignment horizontal="right"/>
      <protection locked="0"/>
    </xf>
    <xf numFmtId="170" fontId="10" fillId="0" borderId="9" xfId="0" applyNumberFormat="1" applyFont="1" applyBorder="1" applyAlignment="1" applyProtection="1">
      <alignment horizontal="right"/>
      <protection locked="0"/>
    </xf>
    <xf numFmtId="170" fontId="10" fillId="0" borderId="0" xfId="2" applyNumberFormat="1" applyFont="1" applyFill="1" applyBorder="1" applyAlignment="1">
      <alignment horizontal="right"/>
    </xf>
    <xf numFmtId="170" fontId="10" fillId="0" borderId="0" xfId="0" applyNumberFormat="1" applyFont="1" applyProtection="1">
      <protection locked="0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6" fillId="0" borderId="0" xfId="0" applyFont="1"/>
    <xf numFmtId="170" fontId="10" fillId="6" borderId="0" xfId="0" applyNumberFormat="1" applyFont="1" applyFill="1"/>
    <xf numFmtId="0" fontId="3" fillId="6" borderId="9" xfId="0" applyFont="1" applyFill="1" applyBorder="1" applyAlignment="1">
      <alignment horizontal="left" indent="1"/>
    </xf>
    <xf numFmtId="0" fontId="3" fillId="6" borderId="0" xfId="0" applyFont="1" applyFill="1"/>
    <xf numFmtId="170" fontId="10" fillId="6" borderId="9" xfId="2" applyNumberFormat="1" applyFont="1" applyFill="1" applyBorder="1" applyAlignment="1" applyProtection="1">
      <alignment horizontal="right"/>
      <protection locked="0"/>
    </xf>
    <xf numFmtId="170" fontId="10" fillId="6" borderId="9" xfId="2" applyNumberFormat="1" applyFont="1" applyFill="1" applyBorder="1" applyAlignment="1">
      <alignment horizontal="right"/>
    </xf>
    <xf numFmtId="170" fontId="0" fillId="6" borderId="9" xfId="0" applyNumberFormat="1" applyFill="1" applyBorder="1"/>
    <xf numFmtId="0" fontId="3" fillId="6" borderId="9" xfId="0" applyFont="1" applyFill="1" applyBorder="1"/>
    <xf numFmtId="0" fontId="3" fillId="6" borderId="13" xfId="0" applyFont="1" applyFill="1" applyBorder="1"/>
    <xf numFmtId="170" fontId="10" fillId="6" borderId="9" xfId="0" applyNumberFormat="1" applyFont="1" applyFill="1" applyBorder="1" applyProtection="1">
      <protection locked="0"/>
    </xf>
    <xf numFmtId="170" fontId="0" fillId="7" borderId="0" xfId="0" applyNumberFormat="1" applyFill="1"/>
    <xf numFmtId="170" fontId="10" fillId="7" borderId="0" xfId="0" applyNumberFormat="1" applyFont="1" applyFill="1"/>
    <xf numFmtId="170" fontId="10" fillId="7" borderId="10" xfId="0" applyNumberFormat="1" applyFont="1" applyFill="1" applyBorder="1"/>
    <xf numFmtId="0" fontId="0" fillId="0" borderId="14" xfId="0" applyBorder="1"/>
    <xf numFmtId="0" fontId="0" fillId="0" borderId="12" xfId="0" applyBorder="1"/>
    <xf numFmtId="170" fontId="0" fillId="0" borderId="12" xfId="0" applyNumberFormat="1" applyBorder="1"/>
    <xf numFmtId="0" fontId="0" fillId="0" borderId="15" xfId="0" applyBorder="1"/>
    <xf numFmtId="0" fontId="3" fillId="0" borderId="16" xfId="0" applyFont="1" applyBorder="1"/>
    <xf numFmtId="170" fontId="3" fillId="0" borderId="0" xfId="0" applyNumberFormat="1" applyFont="1"/>
    <xf numFmtId="0" fontId="3" fillId="0" borderId="17" xfId="0" applyFont="1" applyBorder="1"/>
    <xf numFmtId="0" fontId="0" fillId="0" borderId="16" xfId="0" applyBorder="1"/>
    <xf numFmtId="170" fontId="17" fillId="0" borderId="0" xfId="0" applyNumberFormat="1" applyFont="1"/>
    <xf numFmtId="170" fontId="10" fillId="0" borderId="4" xfId="0" applyNumberFormat="1" applyFont="1" applyBorder="1"/>
    <xf numFmtId="8" fontId="3" fillId="0" borderId="0" xfId="0" applyNumberFormat="1" applyFont="1"/>
    <xf numFmtId="0" fontId="19" fillId="0" borderId="0" xfId="5"/>
    <xf numFmtId="0" fontId="11" fillId="0" borderId="0" xfId="0" applyFont="1" applyAlignment="1" applyProtection="1">
      <alignment horizontal="center" wrapText="1"/>
      <protection locked="0"/>
    </xf>
    <xf numFmtId="2" fontId="10" fillId="0" borderId="0" xfId="1" applyNumberFormat="1" applyFont="1" applyFill="1" applyBorder="1" applyAlignment="1" applyProtection="1">
      <alignment horizontal="right"/>
      <protection locked="0"/>
    </xf>
    <xf numFmtId="170" fontId="11" fillId="0" borderId="0" xfId="2" applyNumberFormat="1" applyFont="1" applyFill="1" applyBorder="1"/>
    <xf numFmtId="170" fontId="10" fillId="0" borderId="0" xfId="2" applyNumberFormat="1" applyFont="1" applyFill="1" applyBorder="1" applyAlignment="1" applyProtection="1">
      <alignment horizontal="right"/>
      <protection locked="0"/>
    </xf>
    <xf numFmtId="170" fontId="10" fillId="0" borderId="0" xfId="2" applyNumberFormat="1" applyFont="1" applyFill="1" applyBorder="1" applyAlignment="1" applyProtection="1">
      <alignment horizontal="right"/>
    </xf>
    <xf numFmtId="170" fontId="11" fillId="0" borderId="0" xfId="2" applyNumberFormat="1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 wrapText="1"/>
      <protection locked="0"/>
    </xf>
    <xf numFmtId="0" fontId="10" fillId="2" borderId="20" xfId="0" applyFont="1" applyFill="1" applyBorder="1"/>
    <xf numFmtId="2" fontId="10" fillId="3" borderId="19" xfId="1" applyNumberFormat="1" applyFont="1" applyFill="1" applyBorder="1" applyAlignment="1" applyProtection="1">
      <alignment horizontal="right"/>
      <protection locked="0"/>
    </xf>
    <xf numFmtId="170" fontId="10" fillId="4" borderId="19" xfId="2" applyNumberFormat="1" applyFont="1" applyFill="1" applyBorder="1" applyAlignment="1" applyProtection="1">
      <alignment horizontal="right"/>
      <protection locked="0"/>
    </xf>
    <xf numFmtId="0" fontId="10" fillId="0" borderId="12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7" xfId="0" applyFont="1" applyBorder="1" applyAlignment="1">
      <alignment horizontal="left"/>
    </xf>
    <xf numFmtId="43" fontId="10" fillId="3" borderId="2" xfId="1" applyFont="1" applyFill="1" applyBorder="1" applyAlignment="1" applyProtection="1">
      <alignment horizontal="right"/>
      <protection locked="0"/>
    </xf>
    <xf numFmtId="170" fontId="10" fillId="4" borderId="18" xfId="2" applyNumberFormat="1" applyFont="1" applyFill="1" applyBorder="1" applyAlignment="1" applyProtection="1">
      <alignment horizontal="right"/>
      <protection locked="0"/>
    </xf>
    <xf numFmtId="0" fontId="10" fillId="0" borderId="2" xfId="0" applyFont="1" applyBorder="1"/>
    <xf numFmtId="170" fontId="10" fillId="0" borderId="12" xfId="0" applyNumberFormat="1" applyFont="1" applyBorder="1" applyAlignment="1">
      <alignment horizontal="right"/>
    </xf>
    <xf numFmtId="170" fontId="3" fillId="0" borderId="2" xfId="0" applyNumberFormat="1" applyFont="1" applyBorder="1"/>
    <xf numFmtId="170" fontId="3" fillId="7" borderId="0" xfId="0" applyNumberFormat="1" applyFont="1" applyFill="1"/>
    <xf numFmtId="0" fontId="3" fillId="0" borderId="2" xfId="0" applyFont="1" applyBorder="1"/>
    <xf numFmtId="0" fontId="5" fillId="0" borderId="0" xfId="0" applyFont="1" applyAlignment="1" applyProtection="1">
      <alignment horizontal="center" wrapText="1"/>
      <protection locked="0"/>
    </xf>
    <xf numFmtId="0" fontId="3" fillId="0" borderId="0" xfId="0" applyFont="1" applyAlignment="1">
      <alignment horizontal="left" indent="1"/>
    </xf>
    <xf numFmtId="164" fontId="5" fillId="0" borderId="0" xfId="1" applyNumberFormat="1" applyFont="1" applyFill="1" applyBorder="1" applyAlignment="1" applyProtection="1">
      <alignment horizontal="right"/>
      <protection locked="0"/>
    </xf>
    <xf numFmtId="165" fontId="5" fillId="0" borderId="0" xfId="1" applyNumberFormat="1" applyFont="1" applyFill="1" applyBorder="1" applyAlignment="1" applyProtection="1">
      <alignment horizontal="right"/>
      <protection locked="0"/>
    </xf>
    <xf numFmtId="166" fontId="3" fillId="0" borderId="0" xfId="2" applyNumberFormat="1" applyFont="1" applyFill="1" applyBorder="1" applyAlignment="1" applyProtection="1">
      <alignment horizontal="center"/>
      <protection locked="0"/>
    </xf>
    <xf numFmtId="44" fontId="5" fillId="0" borderId="0" xfId="2" applyFont="1" applyFill="1" applyBorder="1" applyProtection="1">
      <protection locked="0"/>
    </xf>
    <xf numFmtId="43" fontId="5" fillId="0" borderId="0" xfId="1" applyFont="1" applyFill="1" applyBorder="1" applyAlignment="1" applyProtection="1">
      <alignment horizontal="right"/>
      <protection locked="0"/>
    </xf>
    <xf numFmtId="164" fontId="5" fillId="0" borderId="0" xfId="1" applyNumberFormat="1" applyFont="1" applyFill="1" applyBorder="1" applyProtection="1">
      <protection locked="0"/>
    </xf>
    <xf numFmtId="166" fontId="3" fillId="0" borderId="0" xfId="2" applyNumberFormat="1" applyFont="1" applyFill="1" applyBorder="1" applyAlignment="1" applyProtection="1">
      <alignment horizontal="center" wrapText="1"/>
      <protection locked="0"/>
    </xf>
    <xf numFmtId="166" fontId="5" fillId="0" borderId="0" xfId="2" applyNumberFormat="1" applyFont="1" applyFill="1" applyBorder="1" applyProtection="1">
      <protection locked="0"/>
    </xf>
    <xf numFmtId="0" fontId="6" fillId="0" borderId="0" xfId="0" applyFont="1" applyAlignment="1">
      <alignment horizontal="left" indent="1"/>
    </xf>
    <xf numFmtId="167" fontId="5" fillId="0" borderId="0" xfId="2" applyNumberFormat="1" applyFont="1" applyFill="1" applyBorder="1" applyProtection="1">
      <protection locked="0"/>
    </xf>
    <xf numFmtId="0" fontId="3" fillId="0" borderId="0" xfId="3" applyFont="1" applyAlignment="1">
      <alignment horizontal="left" indent="1"/>
    </xf>
    <xf numFmtId="166" fontId="5" fillId="0" borderId="0" xfId="2" applyNumberFormat="1" applyFont="1" applyFill="1" applyBorder="1" applyProtection="1"/>
    <xf numFmtId="0" fontId="13" fillId="0" borderId="0" xfId="0" applyFont="1"/>
    <xf numFmtId="0" fontId="5" fillId="0" borderId="0" xfId="0" applyFont="1" applyAlignment="1">
      <alignment horizontal="center" wrapText="1"/>
    </xf>
    <xf numFmtId="0" fontId="5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44" fontId="5" fillId="0" borderId="0" xfId="2" applyFont="1" applyFill="1" applyBorder="1" applyAlignment="1" applyProtection="1">
      <alignment horizontal="right"/>
      <protection locked="0"/>
    </xf>
    <xf numFmtId="166" fontId="5" fillId="0" borderId="0" xfId="2" applyNumberFormat="1" applyFont="1" applyFill="1" applyBorder="1" applyAlignment="1" applyProtection="1">
      <alignment horizontal="right"/>
      <protection locked="0"/>
    </xf>
    <xf numFmtId="0" fontId="6" fillId="0" borderId="0" xfId="0" applyFont="1" applyAlignment="1">
      <alignment horizontal="left"/>
    </xf>
    <xf numFmtId="0" fontId="5" fillId="0" borderId="0" xfId="2" applyNumberFormat="1" applyFont="1" applyFill="1" applyBorder="1" applyAlignment="1">
      <alignment horizontal="right"/>
    </xf>
    <xf numFmtId="164" fontId="10" fillId="0" borderId="14" xfId="1" applyNumberFormat="1" applyFont="1" applyBorder="1" applyAlignment="1">
      <alignment horizontal="right"/>
    </xf>
    <xf numFmtId="0" fontId="10" fillId="0" borderId="16" xfId="0" applyFont="1" applyBorder="1" applyAlignment="1">
      <alignment horizontal="right"/>
    </xf>
    <xf numFmtId="0" fontId="10" fillId="0" borderId="0" xfId="0" applyFont="1" applyAlignment="1" applyProtection="1">
      <alignment horizontal="right" wrapText="1"/>
      <protection locked="0"/>
    </xf>
    <xf numFmtId="0" fontId="0" fillId="0" borderId="4" xfId="0" applyBorder="1"/>
    <xf numFmtId="0" fontId="11" fillId="0" borderId="4" xfId="0" applyFont="1" applyBorder="1" applyAlignment="1">
      <alignment horizontal="center"/>
    </xf>
    <xf numFmtId="170" fontId="10" fillId="2" borderId="11" xfId="0" applyNumberFormat="1" applyFont="1" applyFill="1" applyBorder="1" applyAlignment="1">
      <alignment horizontal="right" wrapText="1"/>
    </xf>
    <xf numFmtId="170" fontId="10" fillId="3" borderId="21" xfId="1" applyNumberFormat="1" applyFont="1" applyFill="1" applyBorder="1" applyAlignment="1" applyProtection="1">
      <alignment horizontal="right"/>
      <protection locked="0"/>
    </xf>
    <xf numFmtId="43" fontId="10" fillId="0" borderId="16" xfId="0" applyNumberFormat="1" applyFont="1" applyBorder="1" applyAlignment="1">
      <alignment horizontal="right"/>
    </xf>
    <xf numFmtId="9" fontId="10" fillId="0" borderId="16" xfId="4" applyFont="1" applyBorder="1" applyAlignment="1">
      <alignment horizontal="right"/>
    </xf>
    <xf numFmtId="10" fontId="10" fillId="0" borderId="16" xfId="4" applyNumberFormat="1" applyFont="1" applyBorder="1" applyAlignment="1">
      <alignment horizontal="right"/>
    </xf>
    <xf numFmtId="170" fontId="10" fillId="0" borderId="2" xfId="0" applyNumberFormat="1" applyFont="1" applyBorder="1"/>
    <xf numFmtId="170" fontId="10" fillId="0" borderId="16" xfId="4" applyNumberFormat="1" applyFont="1" applyBorder="1" applyAlignment="1">
      <alignment horizontal="right"/>
    </xf>
    <xf numFmtId="170" fontId="10" fillId="6" borderId="11" xfId="1" applyNumberFormat="1" applyFont="1" applyFill="1" applyBorder="1" applyAlignment="1" applyProtection="1">
      <alignment horizontal="right"/>
      <protection locked="0"/>
    </xf>
    <xf numFmtId="170" fontId="10" fillId="6" borderId="11" xfId="0" applyNumberFormat="1" applyFont="1" applyFill="1" applyBorder="1" applyAlignment="1" applyProtection="1">
      <alignment horizontal="right"/>
      <protection locked="0"/>
    </xf>
    <xf numFmtId="0" fontId="0" fillId="7" borderId="0" xfId="0" applyFill="1"/>
    <xf numFmtId="0" fontId="3" fillId="7" borderId="0" xfId="0" applyFont="1" applyFill="1"/>
    <xf numFmtId="170" fontId="10" fillId="6" borderId="10" xfId="0" applyNumberFormat="1" applyFont="1" applyFill="1" applyBorder="1"/>
    <xf numFmtId="170" fontId="0" fillId="6" borderId="11" xfId="0" applyNumberFormat="1" applyFill="1" applyBorder="1"/>
    <xf numFmtId="2" fontId="10" fillId="3" borderId="9" xfId="1" applyNumberFormat="1" applyFont="1" applyFill="1" applyBorder="1" applyAlignment="1" applyProtection="1">
      <alignment horizontal="right"/>
      <protection locked="0"/>
    </xf>
    <xf numFmtId="2" fontId="10" fillId="3" borderId="2" xfId="0" applyNumberFormat="1" applyFont="1" applyFill="1" applyBorder="1"/>
    <xf numFmtId="2" fontId="10" fillId="0" borderId="2" xfId="0" applyNumberFormat="1" applyFont="1" applyBorder="1"/>
    <xf numFmtId="0" fontId="3" fillId="9" borderId="0" xfId="0" applyFont="1" applyFill="1"/>
    <xf numFmtId="170" fontId="11" fillId="2" borderId="7" xfId="2" applyNumberFormat="1" applyFont="1" applyFill="1" applyBorder="1" applyAlignment="1">
      <alignment horizontal="right"/>
    </xf>
    <xf numFmtId="0" fontId="0" fillId="4" borderId="0" xfId="0" applyFill="1"/>
    <xf numFmtId="170" fontId="10" fillId="10" borderId="2" xfId="0" applyNumberFormat="1" applyFont="1" applyFill="1" applyBorder="1"/>
    <xf numFmtId="170" fontId="10" fillId="11" borderId="2" xfId="0" applyNumberFormat="1" applyFont="1" applyFill="1" applyBorder="1"/>
    <xf numFmtId="170" fontId="20" fillId="0" borderId="0" xfId="0" applyNumberFormat="1" applyFont="1"/>
    <xf numFmtId="0" fontId="3" fillId="12" borderId="0" xfId="0" applyFont="1" applyFill="1"/>
    <xf numFmtId="170" fontId="17" fillId="12" borderId="0" xfId="0" applyNumberFormat="1" applyFont="1" applyFill="1"/>
    <xf numFmtId="170" fontId="10" fillId="4" borderId="21" xfId="2" applyNumberFormat="1" applyFont="1" applyFill="1" applyBorder="1" applyAlignment="1" applyProtection="1">
      <alignment horizontal="right"/>
      <protection locked="0"/>
    </xf>
    <xf numFmtId="170" fontId="10" fillId="4" borderId="14" xfId="2" applyNumberFormat="1" applyFont="1" applyFill="1" applyBorder="1" applyAlignment="1" applyProtection="1">
      <alignment horizontal="right"/>
      <protection locked="0"/>
    </xf>
    <xf numFmtId="170" fontId="10" fillId="4" borderId="2" xfId="2" applyNumberFormat="1" applyFont="1" applyFill="1" applyBorder="1" applyAlignment="1" applyProtection="1">
      <alignment horizontal="right"/>
    </xf>
    <xf numFmtId="0" fontId="10" fillId="2" borderId="5" xfId="0" applyFont="1" applyFill="1" applyBorder="1" applyAlignment="1">
      <alignment horizontal="left" indent="1"/>
    </xf>
    <xf numFmtId="0" fontId="11" fillId="2" borderId="4" xfId="0" applyFont="1" applyFill="1" applyBorder="1"/>
    <xf numFmtId="170" fontId="11" fillId="4" borderId="0" xfId="0" applyNumberFormat="1" applyFont="1" applyFill="1" applyAlignment="1">
      <alignment horizontal="right"/>
    </xf>
    <xf numFmtId="170" fontId="11" fillId="4" borderId="2" xfId="0" applyNumberFormat="1" applyFont="1" applyFill="1" applyBorder="1" applyAlignment="1">
      <alignment horizontal="right"/>
    </xf>
    <xf numFmtId="170" fontId="11" fillId="4" borderId="9" xfId="2" applyNumberFormat="1" applyFont="1" applyFill="1" applyBorder="1" applyAlignment="1">
      <alignment horizontal="right"/>
    </xf>
    <xf numFmtId="0" fontId="9" fillId="12" borderId="0" xfId="0" applyFont="1" applyFill="1"/>
    <xf numFmtId="0" fontId="10" fillId="12" borderId="4" xfId="0" applyFont="1" applyFill="1" applyBorder="1"/>
    <xf numFmtId="170" fontId="11" fillId="12" borderId="24" xfId="2" applyNumberFormat="1" applyFont="1" applyFill="1" applyBorder="1" applyAlignment="1">
      <alignment horizontal="right"/>
    </xf>
    <xf numFmtId="170" fontId="11" fillId="12" borderId="25" xfId="2" applyNumberFormat="1" applyFont="1" applyFill="1" applyBorder="1" applyAlignment="1">
      <alignment horizontal="right"/>
    </xf>
    <xf numFmtId="0" fontId="11" fillId="12" borderId="22" xfId="0" applyFont="1" applyFill="1" applyBorder="1"/>
    <xf numFmtId="0" fontId="10" fillId="12" borderId="22" xfId="0" applyFont="1" applyFill="1" applyBorder="1"/>
    <xf numFmtId="170" fontId="11" fillId="12" borderId="22" xfId="2" applyNumberFormat="1" applyFont="1" applyFill="1" applyBorder="1" applyAlignment="1">
      <alignment horizontal="right"/>
    </xf>
    <xf numFmtId="170" fontId="10" fillId="13" borderId="23" xfId="2" applyNumberFormat="1" applyFont="1" applyFill="1" applyBorder="1" applyAlignment="1" applyProtection="1">
      <alignment horizontal="right"/>
    </xf>
    <xf numFmtId="170" fontId="10" fillId="13" borderId="5" xfId="0" applyNumberFormat="1" applyFont="1" applyFill="1" applyBorder="1" applyAlignment="1">
      <alignment horizontal="right"/>
    </xf>
    <xf numFmtId="172" fontId="3" fillId="0" borderId="0" xfId="0" applyNumberFormat="1" applyFont="1"/>
    <xf numFmtId="170" fontId="9" fillId="0" borderId="0" xfId="0" applyNumberFormat="1" applyFont="1"/>
    <xf numFmtId="170" fontId="10" fillId="10" borderId="21" xfId="2" applyNumberFormat="1" applyFont="1" applyFill="1" applyBorder="1" applyAlignment="1" applyProtection="1">
      <alignment horizontal="right"/>
      <protection locked="0"/>
    </xf>
    <xf numFmtId="170" fontId="10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right"/>
    </xf>
    <xf numFmtId="170" fontId="10" fillId="11" borderId="11" xfId="2" applyNumberFormat="1" applyFont="1" applyFill="1" applyBorder="1" applyAlignment="1" applyProtection="1">
      <alignment horizontal="right"/>
    </xf>
    <xf numFmtId="170" fontId="10" fillId="11" borderId="10" xfId="0" applyNumberFormat="1" applyFont="1" applyFill="1" applyBorder="1" applyAlignment="1">
      <alignment horizontal="right"/>
    </xf>
    <xf numFmtId="0" fontId="10" fillId="11" borderId="10" xfId="0" applyFont="1" applyFill="1" applyBorder="1" applyAlignment="1">
      <alignment horizontal="right"/>
    </xf>
    <xf numFmtId="0" fontId="10" fillId="2" borderId="7" xfId="0" applyFont="1" applyFill="1" applyBorder="1"/>
    <xf numFmtId="170" fontId="10" fillId="4" borderId="8" xfId="2" applyNumberFormat="1" applyFont="1" applyFill="1" applyBorder="1" applyAlignment="1">
      <alignment horizontal="right"/>
    </xf>
    <xf numFmtId="170" fontId="10" fillId="4" borderId="0" xfId="2" applyNumberFormat="1" applyFont="1" applyFill="1" applyBorder="1" applyAlignment="1">
      <alignment horizontal="right"/>
    </xf>
    <xf numFmtId="0" fontId="11" fillId="8" borderId="0" xfId="0" applyFont="1" applyFill="1"/>
    <xf numFmtId="0" fontId="10" fillId="8" borderId="0" xfId="0" applyFont="1" applyFill="1"/>
    <xf numFmtId="170" fontId="11" fillId="8" borderId="0" xfId="2" applyNumberFormat="1" applyFont="1" applyFill="1" applyBorder="1" applyAlignment="1">
      <alignment horizontal="right"/>
    </xf>
    <xf numFmtId="0" fontId="11" fillId="8" borderId="4" xfId="0" applyFont="1" applyFill="1" applyBorder="1"/>
    <xf numFmtId="0" fontId="10" fillId="8" borderId="4" xfId="0" applyFont="1" applyFill="1" applyBorder="1"/>
    <xf numFmtId="170" fontId="11" fillId="8" borderId="4" xfId="2" applyNumberFormat="1" applyFont="1" applyFill="1" applyBorder="1" applyAlignment="1">
      <alignment horizontal="right"/>
    </xf>
    <xf numFmtId="170" fontId="1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8" fontId="3" fillId="5" borderId="0" xfId="0" applyNumberFormat="1" applyFont="1" applyFill="1" applyAlignment="1">
      <alignment horizontal="center"/>
    </xf>
    <xf numFmtId="170" fontId="10" fillId="0" borderId="1" xfId="0" applyNumberFormat="1" applyFont="1" applyBorder="1" applyAlignment="1">
      <alignment horizontal="center"/>
    </xf>
    <xf numFmtId="0" fontId="21" fillId="0" borderId="0" xfId="5" applyFont="1"/>
  </cellXfs>
  <cellStyles count="6">
    <cellStyle name="Comma" xfId="1" builtinId="3"/>
    <cellStyle name="Currency" xfId="2" builtinId="4"/>
    <cellStyle name="Hyperlink" xfId="5" builtinId="8"/>
    <cellStyle name="Normal" xfId="0" builtinId="0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27</xdr:row>
      <xdr:rowOff>92528</xdr:rowOff>
    </xdr:from>
    <xdr:to>
      <xdr:col>21</xdr:col>
      <xdr:colOff>342899</xdr:colOff>
      <xdr:row>28</xdr:row>
      <xdr:rowOff>152401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CAA80357-5070-E8B0-712E-88054ABE3526}"/>
            </a:ext>
          </a:extLst>
        </xdr:cNvPr>
        <xdr:cNvSpPr/>
      </xdr:nvSpPr>
      <xdr:spPr>
        <a:xfrm>
          <a:off x="12355286" y="5350328"/>
          <a:ext cx="3303813" cy="315687"/>
        </a:xfrm>
        <a:prstGeom prst="wedgeRoundRectCallout">
          <a:avLst>
            <a:gd name="adj1" fmla="val -75501"/>
            <a:gd name="adj2" fmla="val 71040"/>
            <a:gd name="adj3" fmla="val 16667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Parameter box: Change prices and rates</a:t>
          </a:r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here</a:t>
          </a:r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125185</xdr:colOff>
      <xdr:row>23</xdr:row>
      <xdr:rowOff>179615</xdr:rowOff>
    </xdr:from>
    <xdr:to>
      <xdr:col>21</xdr:col>
      <xdr:colOff>451757</xdr:colOff>
      <xdr:row>26</xdr:row>
      <xdr:rowOff>108857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143E2A5B-E475-4861-95BC-F303A1EACE60}"/>
            </a:ext>
          </a:extLst>
        </xdr:cNvPr>
        <xdr:cNvSpPr/>
      </xdr:nvSpPr>
      <xdr:spPr>
        <a:xfrm>
          <a:off x="12175671" y="4974772"/>
          <a:ext cx="3592286" cy="517071"/>
        </a:xfrm>
        <a:prstGeom prst="wedgeRoundRectCallout">
          <a:avLst>
            <a:gd name="adj1" fmla="val -79662"/>
            <a:gd name="adj2" fmla="val 8527"/>
            <a:gd name="adj3" fmla="val 16667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Rent</a:t>
          </a:r>
          <a:r>
            <a:rPr lang="en-US" sz="1100" baseline="0"/>
            <a:t> is included as a proxy for opportunity cost of capital. For those only using cash costs, it is removed here.</a:t>
          </a:r>
          <a:endParaRPr lang="en-US" sz="1100"/>
        </a:p>
      </xdr:txBody>
    </xdr:sp>
    <xdr:clientData/>
  </xdr:twoCellAnchor>
  <xdr:twoCellAnchor>
    <xdr:from>
      <xdr:col>15</xdr:col>
      <xdr:colOff>500743</xdr:colOff>
      <xdr:row>2</xdr:row>
      <xdr:rowOff>48986</xdr:rowOff>
    </xdr:from>
    <xdr:to>
      <xdr:col>19</xdr:col>
      <xdr:colOff>21772</xdr:colOff>
      <xdr:row>3</xdr:row>
      <xdr:rowOff>168728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EF1EAB1A-1A57-4574-8E3F-F4C08FCC0253}"/>
            </a:ext>
          </a:extLst>
        </xdr:cNvPr>
        <xdr:cNvSpPr/>
      </xdr:nvSpPr>
      <xdr:spPr>
        <a:xfrm>
          <a:off x="11898086" y="685800"/>
          <a:ext cx="2133600" cy="299357"/>
        </a:xfrm>
        <a:prstGeom prst="wedgeRoundRectCallout">
          <a:avLst>
            <a:gd name="adj1" fmla="val 82924"/>
            <a:gd name="adj2" fmla="val -55110"/>
            <a:gd name="adj3" fmla="val 16667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This</a:t>
          </a:r>
          <a:r>
            <a:rPr lang="en-US" sz="1100" baseline="0"/>
            <a:t> actually might be low now.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48986</xdr:colOff>
      <xdr:row>41</xdr:row>
      <xdr:rowOff>136072</xdr:rowOff>
    </xdr:from>
    <xdr:to>
      <xdr:col>18</xdr:col>
      <xdr:colOff>386443</xdr:colOff>
      <xdr:row>45</xdr:row>
      <xdr:rowOff>70757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8FA49BA4-3A22-88A4-DF4C-ACD313C8A8F0}"/>
            </a:ext>
          </a:extLst>
        </xdr:cNvPr>
        <xdr:cNvSpPr/>
      </xdr:nvSpPr>
      <xdr:spPr>
        <a:xfrm>
          <a:off x="10836729" y="6825343"/>
          <a:ext cx="2296885" cy="745671"/>
        </a:xfrm>
        <a:prstGeom prst="wedgeRoundRectCallout">
          <a:avLst>
            <a:gd name="adj1" fmla="val -94056"/>
            <a:gd name="adj2" fmla="val 35493"/>
            <a:gd name="adj3" fmla="val 16667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Do we need both of these?</a:t>
          </a:r>
        </a:p>
      </xdr:txBody>
    </xdr:sp>
    <xdr:clientData/>
  </xdr:twoCellAnchor>
  <xdr:twoCellAnchor>
    <xdr:from>
      <xdr:col>14</xdr:col>
      <xdr:colOff>571501</xdr:colOff>
      <xdr:row>36</xdr:row>
      <xdr:rowOff>27215</xdr:rowOff>
    </xdr:from>
    <xdr:to>
      <xdr:col>18</xdr:col>
      <xdr:colOff>255815</xdr:colOff>
      <xdr:row>39</xdr:row>
      <xdr:rowOff>157843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7ADB785-313D-450D-AACD-B43DA8F22DB4}"/>
            </a:ext>
          </a:extLst>
        </xdr:cNvPr>
        <xdr:cNvSpPr/>
      </xdr:nvSpPr>
      <xdr:spPr>
        <a:xfrm>
          <a:off x="10706101" y="5704115"/>
          <a:ext cx="2296885" cy="745671"/>
        </a:xfrm>
        <a:prstGeom prst="wedgeRoundRectCallout">
          <a:avLst>
            <a:gd name="adj1" fmla="val -94056"/>
            <a:gd name="adj2" fmla="val 35493"/>
            <a:gd name="adj3" fmla="val 16667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Prices</a:t>
          </a:r>
          <a:r>
            <a:rPr lang="en-US" sz="1100" baseline="0"/>
            <a:t> updated but not sure if I have the complement right</a:t>
          </a:r>
          <a:endParaRPr lang="en-US" sz="1100"/>
        </a:p>
      </xdr:txBody>
    </xdr:sp>
    <xdr:clientData/>
  </xdr:twoCellAnchor>
  <xdr:twoCellAnchor>
    <xdr:from>
      <xdr:col>7</xdr:col>
      <xdr:colOff>631374</xdr:colOff>
      <xdr:row>20</xdr:row>
      <xdr:rowOff>65316</xdr:rowOff>
    </xdr:from>
    <xdr:to>
      <xdr:col>13</xdr:col>
      <xdr:colOff>185058</xdr:colOff>
      <xdr:row>22</xdr:row>
      <xdr:rowOff>70757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05D3C4E0-8F2C-4C02-8D49-681068681FCB}"/>
            </a:ext>
          </a:extLst>
        </xdr:cNvPr>
        <xdr:cNvSpPr/>
      </xdr:nvSpPr>
      <xdr:spPr>
        <a:xfrm>
          <a:off x="6324603" y="4087587"/>
          <a:ext cx="3352798" cy="380999"/>
        </a:xfrm>
        <a:prstGeom prst="wedgeRoundRectCallout">
          <a:avLst>
            <a:gd name="adj1" fmla="val -67108"/>
            <a:gd name="adj2" fmla="val 95909"/>
            <a:gd name="adj3" fmla="val 16667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Rent</a:t>
          </a:r>
          <a:r>
            <a:rPr lang="en-US" sz="1100" baseline="0"/>
            <a:t> is included as an opportunity cost of capital. </a:t>
          </a:r>
          <a:endParaRPr lang="en-US" sz="1100"/>
        </a:p>
      </xdr:txBody>
    </xdr:sp>
    <xdr:clientData/>
  </xdr:twoCellAnchor>
  <xdr:twoCellAnchor>
    <xdr:from>
      <xdr:col>14</xdr:col>
      <xdr:colOff>544285</xdr:colOff>
      <xdr:row>30</xdr:row>
      <xdr:rowOff>163285</xdr:rowOff>
    </xdr:from>
    <xdr:to>
      <xdr:col>19</xdr:col>
      <xdr:colOff>250371</xdr:colOff>
      <xdr:row>33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D551C9D-D122-AB4E-2330-E7DBC12DE927}"/>
            </a:ext>
          </a:extLst>
        </xdr:cNvPr>
        <xdr:cNvCxnSpPr/>
      </xdr:nvCxnSpPr>
      <xdr:spPr>
        <a:xfrm flipH="1" flipV="1">
          <a:off x="10956471" y="5622471"/>
          <a:ext cx="2971800" cy="4844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576946</xdr:colOff>
      <xdr:row>22</xdr:row>
      <xdr:rowOff>179615</xdr:rowOff>
    </xdr:from>
    <xdr:to>
      <xdr:col>13</xdr:col>
      <xdr:colOff>130630</xdr:colOff>
      <xdr:row>25</xdr:row>
      <xdr:rowOff>119744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2E82BDA0-C1B0-4E68-82F6-9A64024CA28C}"/>
            </a:ext>
          </a:extLst>
        </xdr:cNvPr>
        <xdr:cNvSpPr/>
      </xdr:nvSpPr>
      <xdr:spPr>
        <a:xfrm>
          <a:off x="6536875" y="4577444"/>
          <a:ext cx="3352798" cy="527957"/>
        </a:xfrm>
        <a:prstGeom prst="wedgeRoundRectCallout">
          <a:avLst>
            <a:gd name="adj1" fmla="val -64998"/>
            <a:gd name="adj2" fmla="val 753"/>
            <a:gd name="adj3" fmla="val 16667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For</a:t>
          </a:r>
          <a:r>
            <a:rPr lang="en-US" sz="1100" baseline="0"/>
            <a:t> those landowners operating on a cash-cost basis, rent is excluded here, but taxes have been included.</a:t>
          </a:r>
          <a:endParaRPr lang="en-US" sz="1100"/>
        </a:p>
      </xdr:txBody>
    </xdr:sp>
    <xdr:clientData/>
  </xdr:twoCellAnchor>
  <xdr:twoCellAnchor>
    <xdr:from>
      <xdr:col>7</xdr:col>
      <xdr:colOff>375557</xdr:colOff>
      <xdr:row>76</xdr:row>
      <xdr:rowOff>21771</xdr:rowOff>
    </xdr:from>
    <xdr:to>
      <xdr:col>10</xdr:col>
      <xdr:colOff>549728</xdr:colOff>
      <xdr:row>80</xdr:row>
      <xdr:rowOff>48986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9E80054E-0BA2-40FE-8B00-9E2A4312297F}"/>
            </a:ext>
          </a:extLst>
        </xdr:cNvPr>
        <xdr:cNvSpPr/>
      </xdr:nvSpPr>
      <xdr:spPr>
        <a:xfrm>
          <a:off x="6068786" y="15229114"/>
          <a:ext cx="2296885" cy="810986"/>
        </a:xfrm>
        <a:prstGeom prst="wedgeRoundRectCallout">
          <a:avLst>
            <a:gd name="adj1" fmla="val -65620"/>
            <a:gd name="adj2" fmla="val -16008"/>
            <a:gd name="adj3" fmla="val 16667"/>
          </a:avLst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Rows</a:t>
          </a:r>
          <a:r>
            <a:rPr lang="en-US" sz="1100" baseline="0"/>
            <a:t> 77 through 81 are selectively added for owned and rented land by column. See totals formulae.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ass.usda.gov/Surveys/Guide_to_NASS_Surveys/Cash_Rents_by_Count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yoextension.org/publications/html/B1315-5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tensionpublications.unl.edu/assets/pdf/ec823.pdf" TargetMode="External"/><Relationship Id="rId2" Type="http://schemas.openxmlformats.org/officeDocument/2006/relationships/hyperlink" Target="https://kernza.org/wp-content/uploads/Grower-guide_final.pdf" TargetMode="External"/><Relationship Id="rId1" Type="http://schemas.openxmlformats.org/officeDocument/2006/relationships/hyperlink" Target="https://wyoextension.org/publications/html/B1315-5/" TargetMode="External"/><Relationship Id="rId5" Type="http://schemas.openxmlformats.org/officeDocument/2006/relationships/hyperlink" Target="https://www.nass.usda.gov/Quick_Stats/" TargetMode="External"/><Relationship Id="rId4" Type="http://schemas.openxmlformats.org/officeDocument/2006/relationships/hyperlink" Target="https://agecon.unl.edu/nebraska-farmland-values-and-cash-rental-rates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5"/>
  <sheetViews>
    <sheetView tabSelected="1" workbookViewId="0">
      <selection activeCell="C97" sqref="C97"/>
    </sheetView>
  </sheetViews>
  <sheetFormatPr defaultRowHeight="14.15" x14ac:dyDescent="0.35"/>
  <cols>
    <col min="1" max="1" width="42.3828125" customWidth="1"/>
    <col min="2" max="3" width="3.69140625" customWidth="1"/>
    <col min="4" max="4" width="15.15234375" bestFit="1" customWidth="1"/>
    <col min="5" max="5" width="4.23046875" customWidth="1"/>
    <col min="6" max="6" width="14" customWidth="1"/>
    <col min="7" max="7" width="4.53515625" customWidth="1"/>
    <col min="8" max="8" width="15.15234375" bestFit="1" customWidth="1"/>
    <col min="9" max="9" width="3.53515625" customWidth="1"/>
    <col min="10" max="10" width="14.765625" customWidth="1"/>
    <col min="11" max="11" width="4.15234375" customWidth="1"/>
    <col min="12" max="12" width="9.15234375" customWidth="1"/>
    <col min="13" max="13" width="7.3046875" customWidth="1"/>
    <col min="14" max="14" width="10.07421875" bestFit="1" customWidth="1"/>
  </cols>
  <sheetData>
    <row r="1" spans="1:44" ht="24.9" x14ac:dyDescent="0.55000000000000004">
      <c r="A1" s="10" t="s">
        <v>73</v>
      </c>
      <c r="I1" s="10"/>
    </row>
    <row r="2" spans="1:44" ht="25.3" x14ac:dyDescent="0.6">
      <c r="A2" s="2" t="s">
        <v>76</v>
      </c>
      <c r="G2" t="s">
        <v>74</v>
      </c>
      <c r="I2" s="10"/>
      <c r="P2" s="31"/>
      <c r="R2" t="s">
        <v>25</v>
      </c>
      <c r="U2" s="31">
        <v>4.7500000000000001E-2</v>
      </c>
      <c r="V2" t="s">
        <v>26</v>
      </c>
    </row>
    <row r="3" spans="1:44" x14ac:dyDescent="0.35">
      <c r="D3" s="54" t="s">
        <v>18</v>
      </c>
      <c r="E3" s="54"/>
      <c r="F3" s="54" t="s">
        <v>14</v>
      </c>
      <c r="G3" s="54"/>
      <c r="H3" s="54" t="s">
        <v>15</v>
      </c>
      <c r="I3" s="54"/>
      <c r="J3" s="54" t="s">
        <v>16</v>
      </c>
      <c r="K3" s="54"/>
      <c r="L3" s="54" t="s">
        <v>17</v>
      </c>
    </row>
    <row r="4" spans="1:44" ht="18.899999999999999" customHeight="1" x14ac:dyDescent="0.4">
      <c r="A4" s="12" t="s">
        <v>0</v>
      </c>
      <c r="B4" s="13"/>
      <c r="C4" s="13"/>
      <c r="D4" s="53" t="s">
        <v>19</v>
      </c>
      <c r="E4" s="41"/>
      <c r="F4" s="53" t="s">
        <v>21</v>
      </c>
      <c r="G4" s="41"/>
      <c r="H4" s="53" t="s">
        <v>20</v>
      </c>
      <c r="I4" s="41"/>
      <c r="J4" s="53" t="s">
        <v>21</v>
      </c>
      <c r="K4" s="41"/>
      <c r="L4" s="53" t="s">
        <v>20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5.45" x14ac:dyDescent="0.4">
      <c r="A5" s="14" t="s">
        <v>1</v>
      </c>
      <c r="B5" s="13"/>
      <c r="C5" s="13"/>
      <c r="D5" s="15"/>
      <c r="E5" s="13"/>
      <c r="F5" s="15"/>
      <c r="G5" s="13"/>
      <c r="H5" s="15"/>
      <c r="I5" s="13"/>
      <c r="J5" s="15"/>
      <c r="K5" s="13"/>
      <c r="L5" s="1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5.45" x14ac:dyDescent="0.4">
      <c r="A6" s="22" t="s">
        <v>102</v>
      </c>
      <c r="B6" s="13"/>
      <c r="C6" s="13"/>
      <c r="D6" s="181">
        <v>0</v>
      </c>
      <c r="E6" s="133"/>
      <c r="F6" s="181">
        <f>L31</f>
        <v>300</v>
      </c>
      <c r="G6" s="182"/>
      <c r="H6" s="181">
        <v>0</v>
      </c>
      <c r="I6" s="182"/>
      <c r="J6" s="181">
        <f>L31</f>
        <v>300</v>
      </c>
      <c r="K6" s="182"/>
      <c r="L6" s="181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5.45" x14ac:dyDescent="0.4">
      <c r="A7" s="16" t="s">
        <v>99</v>
      </c>
      <c r="B7" s="13"/>
      <c r="C7" s="13"/>
      <c r="D7" s="180">
        <v>0</v>
      </c>
      <c r="E7" s="30"/>
      <c r="F7" s="180">
        <f>L32</f>
        <v>195</v>
      </c>
      <c r="G7" s="30"/>
      <c r="H7" s="180">
        <v>0</v>
      </c>
      <c r="I7" s="30"/>
      <c r="J7" s="180">
        <v>200</v>
      </c>
      <c r="K7" s="30"/>
      <c r="L7" s="180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5.45" x14ac:dyDescent="0.4">
      <c r="A8" s="16" t="s">
        <v>2</v>
      </c>
      <c r="B8" s="13"/>
      <c r="C8" s="13"/>
      <c r="D8" s="19">
        <f>N32</f>
        <v>2</v>
      </c>
      <c r="E8" s="18"/>
      <c r="F8" s="19">
        <f>N32</f>
        <v>2</v>
      </c>
      <c r="G8" s="18"/>
      <c r="H8" s="17">
        <f>N32</f>
        <v>2</v>
      </c>
      <c r="I8" s="18"/>
      <c r="J8" s="19">
        <f>N32</f>
        <v>2</v>
      </c>
      <c r="K8" s="18"/>
      <c r="L8" s="19">
        <f>N32</f>
        <v>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45" x14ac:dyDescent="0.4">
      <c r="A9" s="16" t="s">
        <v>27</v>
      </c>
      <c r="B9" s="13"/>
      <c r="C9" s="13"/>
      <c r="D9" s="32">
        <v>0</v>
      </c>
      <c r="E9" s="30"/>
      <c r="F9" s="32">
        <f>L33</f>
        <v>1</v>
      </c>
      <c r="G9" s="30"/>
      <c r="H9" s="29">
        <v>1</v>
      </c>
      <c r="I9" s="30"/>
      <c r="J9" s="32">
        <v>1</v>
      </c>
      <c r="K9" s="30"/>
      <c r="L9" s="32">
        <v>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45" x14ac:dyDescent="0.4">
      <c r="A10" s="16" t="s">
        <v>2</v>
      </c>
      <c r="B10" s="13"/>
      <c r="C10" s="13"/>
      <c r="D10" s="19">
        <f>J33</f>
        <v>100</v>
      </c>
      <c r="E10" s="18"/>
      <c r="F10" s="19">
        <f>F33</f>
        <v>100</v>
      </c>
      <c r="G10" s="18"/>
      <c r="H10" s="17">
        <f>H33</f>
        <v>100</v>
      </c>
      <c r="I10" s="18"/>
      <c r="J10" s="19">
        <f>F33</f>
        <v>100</v>
      </c>
      <c r="K10" s="18"/>
      <c r="L10" s="19">
        <f>H33</f>
        <v>100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45" x14ac:dyDescent="0.4">
      <c r="A11" s="20" t="s">
        <v>3</v>
      </c>
      <c r="B11" s="13"/>
      <c r="C11" s="13"/>
      <c r="D11" s="21">
        <f>(D7*D8)+(D9*D10)</f>
        <v>0</v>
      </c>
      <c r="E11" s="21"/>
      <c r="F11" s="21">
        <f t="shared" ref="F11:L11" si="0">(F7*F8)+(F9*F10)</f>
        <v>490</v>
      </c>
      <c r="G11" s="21"/>
      <c r="H11" s="21">
        <f t="shared" si="0"/>
        <v>100</v>
      </c>
      <c r="I11" s="21"/>
      <c r="J11" s="21">
        <f t="shared" si="0"/>
        <v>500</v>
      </c>
      <c r="K11" s="21"/>
      <c r="L11" s="21">
        <f t="shared" si="0"/>
        <v>100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5.45" x14ac:dyDescent="0.4">
      <c r="A12" s="22"/>
      <c r="B12" s="13"/>
      <c r="C12" s="13"/>
      <c r="D12" s="22"/>
      <c r="E12" s="13"/>
      <c r="F12" s="15"/>
      <c r="G12" s="13"/>
      <c r="H12" s="15"/>
      <c r="I12" s="13"/>
      <c r="J12" s="15"/>
      <c r="K12" s="13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5.45" x14ac:dyDescent="0.4">
      <c r="A13" s="14" t="s">
        <v>4</v>
      </c>
      <c r="B13" s="13"/>
      <c r="C13" s="13"/>
      <c r="D13" s="22"/>
      <c r="E13" s="13"/>
      <c r="F13" s="15"/>
      <c r="G13" s="13"/>
      <c r="H13" s="15"/>
      <c r="I13" s="13"/>
      <c r="J13" s="15"/>
      <c r="K13" s="13"/>
      <c r="L13" s="1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45" x14ac:dyDescent="0.4">
      <c r="A14" s="16" t="s">
        <v>5</v>
      </c>
      <c r="B14" s="13"/>
      <c r="C14" s="13"/>
      <c r="D14" s="71">
        <f>D36</f>
        <v>120</v>
      </c>
      <c r="E14" s="72"/>
      <c r="F14" s="73">
        <f>F36</f>
        <v>0</v>
      </c>
      <c r="G14" s="73"/>
      <c r="H14" s="73">
        <f t="shared" ref="H14" si="1">H36</f>
        <v>0</v>
      </c>
      <c r="I14" s="72"/>
      <c r="J14" s="73">
        <f>F36</f>
        <v>0</v>
      </c>
      <c r="K14" s="74"/>
      <c r="L14" s="73">
        <f>H36</f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45" x14ac:dyDescent="0.4">
      <c r="A15" s="16" t="s">
        <v>6</v>
      </c>
      <c r="B15" s="13"/>
      <c r="C15" s="13"/>
      <c r="D15" s="73">
        <f>D43</f>
        <v>15.86</v>
      </c>
      <c r="E15" s="72"/>
      <c r="F15" s="73">
        <f>F43</f>
        <v>5.9250000000000007</v>
      </c>
      <c r="G15" s="73"/>
      <c r="H15" s="73">
        <f t="shared" ref="H15" si="2">H43</f>
        <v>0</v>
      </c>
      <c r="I15" s="72"/>
      <c r="J15" s="73">
        <f>F43</f>
        <v>5.9250000000000007</v>
      </c>
      <c r="K15" s="74"/>
      <c r="L15" s="73">
        <f>H43</f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45" x14ac:dyDescent="0.4">
      <c r="A16" s="16" t="s">
        <v>7</v>
      </c>
      <c r="B16" s="13"/>
      <c r="C16" s="13"/>
      <c r="D16" s="73">
        <f>D49</f>
        <v>58.45</v>
      </c>
      <c r="E16" s="72"/>
      <c r="F16" s="73">
        <f>F49</f>
        <v>2</v>
      </c>
      <c r="G16" s="73"/>
      <c r="H16" s="73">
        <f t="shared" ref="H16" si="3">H49</f>
        <v>0</v>
      </c>
      <c r="I16" s="72"/>
      <c r="J16" s="73">
        <f>F49</f>
        <v>2</v>
      </c>
      <c r="K16" s="74"/>
      <c r="L16" s="73">
        <f>H49</f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5.45" x14ac:dyDescent="0.4">
      <c r="A17" s="23" t="s">
        <v>43</v>
      </c>
      <c r="B17" s="13"/>
      <c r="C17" s="13"/>
      <c r="D17" s="73">
        <f>D61</f>
        <v>98.09</v>
      </c>
      <c r="E17" s="72"/>
      <c r="F17" s="73">
        <f>F61</f>
        <v>66.3</v>
      </c>
      <c r="G17" s="73"/>
      <c r="H17" s="73">
        <f t="shared" ref="H17" si="4">H61</f>
        <v>38.53</v>
      </c>
      <c r="I17" s="72"/>
      <c r="J17" s="73">
        <f>F61</f>
        <v>66.3</v>
      </c>
      <c r="K17" s="74"/>
      <c r="L17" s="73">
        <f>H61</f>
        <v>38.53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5.45" x14ac:dyDescent="0.4">
      <c r="A18" s="16" t="s">
        <v>123</v>
      </c>
      <c r="B18" s="13"/>
      <c r="C18" s="13"/>
      <c r="D18" s="73">
        <f>D68</f>
        <v>0</v>
      </c>
      <c r="E18" s="72"/>
      <c r="F18" s="73">
        <f>F68</f>
        <v>43.387999999999998</v>
      </c>
      <c r="G18" s="73"/>
      <c r="H18" s="73">
        <f t="shared" ref="H18" si="5">H68</f>
        <v>3.06</v>
      </c>
      <c r="I18" s="72"/>
      <c r="J18" s="73">
        <f>F68</f>
        <v>43.387999999999998</v>
      </c>
      <c r="K18" s="74"/>
      <c r="L18" s="73">
        <f>H68</f>
        <v>3.06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.45" x14ac:dyDescent="0.4">
      <c r="A19" s="16" t="s">
        <v>149</v>
      </c>
      <c r="B19" s="13"/>
      <c r="C19" s="13"/>
      <c r="D19" s="210">
        <f>D77</f>
        <v>39.975000000000001</v>
      </c>
      <c r="E19" s="210"/>
      <c r="F19" s="210">
        <f>F77</f>
        <v>39.975000000000001</v>
      </c>
      <c r="G19" s="210"/>
      <c r="H19" s="210">
        <f>H77</f>
        <v>39.975000000000001</v>
      </c>
      <c r="I19" s="211"/>
      <c r="J19" s="210">
        <f>F77</f>
        <v>39.975000000000001</v>
      </c>
      <c r="K19" s="212"/>
      <c r="L19" s="210">
        <f>H77</f>
        <v>39.975000000000001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5.9" thickBot="1" x14ac:dyDescent="0.45">
      <c r="A20" s="16" t="s">
        <v>150</v>
      </c>
      <c r="B20" s="13"/>
      <c r="C20" s="13"/>
      <c r="D20" s="213">
        <f>D81</f>
        <v>12.025</v>
      </c>
      <c r="E20" s="213"/>
      <c r="F20" s="213">
        <f>F81</f>
        <v>12.025</v>
      </c>
      <c r="G20" s="213"/>
      <c r="H20" s="213">
        <f>H81</f>
        <v>12.025</v>
      </c>
      <c r="I20" s="214"/>
      <c r="J20" s="213">
        <f>F81</f>
        <v>12.025</v>
      </c>
      <c r="K20" s="215"/>
      <c r="L20" s="213">
        <f>H81</f>
        <v>12.025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9" thickBot="1" x14ac:dyDescent="0.45">
      <c r="A21" s="24"/>
      <c r="B21" s="25"/>
      <c r="C21" s="25"/>
      <c r="D21" s="75"/>
      <c r="E21" s="76"/>
      <c r="F21" s="75"/>
      <c r="G21" s="76"/>
      <c r="H21" s="75"/>
      <c r="I21" s="77"/>
      <c r="J21" s="75"/>
      <c r="K21" s="78"/>
      <c r="L21" s="79"/>
      <c r="M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5.9" thickTop="1" x14ac:dyDescent="0.4">
      <c r="A22" s="216" t="s">
        <v>151</v>
      </c>
      <c r="B22" s="27"/>
      <c r="C22" s="27"/>
      <c r="D22" s="217">
        <f>SUM(D14:D19)</f>
        <v>332.375</v>
      </c>
      <c r="E22" s="217"/>
      <c r="F22" s="217">
        <f t="shared" ref="F22:L22" si="6">SUM(F14:F19)</f>
        <v>157.58799999999999</v>
      </c>
      <c r="G22" s="217"/>
      <c r="H22" s="217">
        <f t="shared" si="6"/>
        <v>81.564999999999998</v>
      </c>
      <c r="I22" s="217"/>
      <c r="J22" s="217">
        <f t="shared" si="6"/>
        <v>157.58799999999999</v>
      </c>
      <c r="K22" s="217"/>
      <c r="L22" s="217">
        <f t="shared" si="6"/>
        <v>81.564999999999998</v>
      </c>
      <c r="M22" s="1"/>
      <c r="N22" s="11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5.45" x14ac:dyDescent="0.4">
      <c r="A23" s="22" t="s">
        <v>152</v>
      </c>
      <c r="B23" s="13"/>
      <c r="C23" s="13"/>
      <c r="D23" s="218">
        <f>SUM(D14:D20)-D19</f>
        <v>304.42499999999995</v>
      </c>
      <c r="E23" s="218"/>
      <c r="F23" s="218">
        <f t="shared" ref="F23:L23" si="7">SUM(F14:F20)-F19</f>
        <v>129.63800000000001</v>
      </c>
      <c r="G23" s="218"/>
      <c r="H23" s="218">
        <f t="shared" si="7"/>
        <v>53.615000000000002</v>
      </c>
      <c r="I23" s="218"/>
      <c r="J23" s="218">
        <f t="shared" si="7"/>
        <v>129.63800000000001</v>
      </c>
      <c r="K23" s="218"/>
      <c r="L23" s="218">
        <f t="shared" si="7"/>
        <v>53.615000000000002</v>
      </c>
      <c r="M23" s="1"/>
      <c r="N23" s="90" t="s">
        <v>66</v>
      </c>
      <c r="O23" s="1" t="s">
        <v>86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45" x14ac:dyDescent="0.4">
      <c r="A24" s="22"/>
      <c r="B24" s="13"/>
      <c r="C24" s="13"/>
      <c r="D24" s="122"/>
      <c r="E24" s="122"/>
      <c r="F24" s="122"/>
      <c r="G24" s="122"/>
      <c r="H24" s="122"/>
      <c r="I24" s="122"/>
      <c r="J24" s="122"/>
      <c r="K24" s="122"/>
      <c r="L24" s="122"/>
      <c r="M24" s="1"/>
      <c r="N24" s="1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5.45" x14ac:dyDescent="0.4">
      <c r="A25" s="219" t="s">
        <v>153</v>
      </c>
      <c r="B25" s="220"/>
      <c r="C25" s="220"/>
      <c r="D25" s="221">
        <f>D11-D22</f>
        <v>-332.375</v>
      </c>
      <c r="E25" s="221"/>
      <c r="F25" s="221">
        <f t="shared" ref="F25:L25" si="8">F11-F22</f>
        <v>332.41200000000003</v>
      </c>
      <c r="G25" s="221"/>
      <c r="H25" s="221">
        <f t="shared" si="8"/>
        <v>18.435000000000002</v>
      </c>
      <c r="I25" s="221"/>
      <c r="J25" s="221">
        <f t="shared" si="8"/>
        <v>342.41200000000003</v>
      </c>
      <c r="K25" s="221"/>
      <c r="L25" s="221">
        <f t="shared" si="8"/>
        <v>18.435000000000002</v>
      </c>
      <c r="M25" s="1"/>
      <c r="N25" s="115">
        <f>NPV(N$81,D25,F25,H25,J25,L25)</f>
        <v>379.31900000000007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45" x14ac:dyDescent="0.4">
      <c r="A26" s="222" t="s">
        <v>154</v>
      </c>
      <c r="B26" s="223"/>
      <c r="C26" s="223"/>
      <c r="D26" s="224">
        <f>D11-D23</f>
        <v>-304.42499999999995</v>
      </c>
      <c r="E26" s="224"/>
      <c r="F26" s="224">
        <f t="shared" ref="F26:L26" si="9">F11-F23</f>
        <v>360.36199999999997</v>
      </c>
      <c r="G26" s="224"/>
      <c r="H26" s="224">
        <f t="shared" si="9"/>
        <v>46.384999999999998</v>
      </c>
      <c r="I26" s="224"/>
      <c r="J26" s="224">
        <f t="shared" si="9"/>
        <v>370.36199999999997</v>
      </c>
      <c r="K26" s="224"/>
      <c r="L26" s="224">
        <f t="shared" si="9"/>
        <v>46.384999999999998</v>
      </c>
      <c r="M26" s="1"/>
      <c r="N26" s="115">
        <f>NPV(N$81,D26,F26,H26,J26,L26)</f>
        <v>519.06899999999996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9" x14ac:dyDescent="0.45">
      <c r="A27" s="3"/>
      <c r="B27" s="1"/>
      <c r="C27" s="1"/>
      <c r="D27" s="4"/>
      <c r="E27" s="1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20.149999999999999" thickBot="1" x14ac:dyDescent="0.5">
      <c r="A28" s="55" t="s">
        <v>90</v>
      </c>
      <c r="B28" s="1"/>
      <c r="C28" s="1"/>
      <c r="D28" s="227" t="s">
        <v>75</v>
      </c>
      <c r="E28" s="227"/>
      <c r="F28" s="227"/>
      <c r="G28" s="227"/>
      <c r="H28" s="227"/>
      <c r="I28" s="1"/>
      <c r="J28" s="1"/>
      <c r="K28" s="1"/>
      <c r="L28" s="90" t="s">
        <v>12</v>
      </c>
      <c r="M28" s="1"/>
      <c r="N28" s="90" t="s">
        <v>107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.45" x14ac:dyDescent="0.4">
      <c r="A29" s="50" t="s">
        <v>0</v>
      </c>
      <c r="B29" s="1"/>
      <c r="C29" s="1"/>
      <c r="D29" s="40" t="str">
        <f>D4</f>
        <v>Establishment</v>
      </c>
      <c r="E29" s="41"/>
      <c r="F29" s="40" t="str">
        <f>F4</f>
        <v>Grain</v>
      </c>
      <c r="G29" s="41"/>
      <c r="H29" s="40" t="str">
        <f>H4</f>
        <v>Hay</v>
      </c>
      <c r="I29" s="13"/>
      <c r="J29" s="42" t="s">
        <v>31</v>
      </c>
      <c r="L29" s="166" t="s">
        <v>108</v>
      </c>
      <c r="M29" s="91"/>
      <c r="N29" s="166" t="s">
        <v>30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35">
      <c r="A30" s="47" t="s">
        <v>28</v>
      </c>
      <c r="D30" s="80"/>
      <c r="E30" s="43"/>
      <c r="F30" s="80"/>
      <c r="G30" s="43"/>
      <c r="H30" s="80"/>
      <c r="I30" s="102"/>
      <c r="J30" s="37"/>
      <c r="L30" s="105"/>
      <c r="M30" s="106"/>
      <c r="N30" s="107"/>
      <c r="O30" s="108"/>
    </row>
    <row r="31" spans="1:44" ht="15.45" x14ac:dyDescent="0.4">
      <c r="A31" s="47" t="s">
        <v>97</v>
      </c>
      <c r="D31" s="135"/>
      <c r="E31" s="110"/>
      <c r="F31" s="135"/>
      <c r="G31" s="110"/>
      <c r="H31" s="135"/>
      <c r="I31" s="136"/>
      <c r="J31" s="137"/>
      <c r="K31" s="1"/>
      <c r="L31" s="109">
        <v>300</v>
      </c>
      <c r="M31" s="1" t="s">
        <v>77</v>
      </c>
      <c r="N31" s="110"/>
      <c r="O31" s="111"/>
      <c r="P31" s="1"/>
      <c r="Q31" s="1"/>
    </row>
    <row r="32" spans="1:44" ht="15.45" x14ac:dyDescent="0.4">
      <c r="A32" s="48" t="s">
        <v>36</v>
      </c>
      <c r="B32" s="1"/>
      <c r="C32" s="1"/>
      <c r="D32" s="33"/>
      <c r="E32" s="18"/>
      <c r="F32" s="80">
        <f>J32</f>
        <v>390</v>
      </c>
      <c r="G32" s="18"/>
      <c r="H32" s="80"/>
      <c r="I32" s="103"/>
      <c r="J32" s="39">
        <f>L32*N32</f>
        <v>390</v>
      </c>
      <c r="L32" s="109">
        <f>L31*0.65</f>
        <v>195</v>
      </c>
      <c r="M32" s="1" t="s">
        <v>77</v>
      </c>
      <c r="N32" s="110">
        <v>2</v>
      </c>
      <c r="O32" s="111" t="s">
        <v>32</v>
      </c>
      <c r="P32" s="1" t="s">
        <v>22</v>
      </c>
      <c r="Q32" s="1"/>
      <c r="R32" s="1" t="s">
        <v>98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.9" thickBot="1" x14ac:dyDescent="0.45">
      <c r="A33" s="57" t="s">
        <v>35</v>
      </c>
      <c r="B33" s="58"/>
      <c r="C33" s="58"/>
      <c r="D33" s="81"/>
      <c r="E33" s="28"/>
      <c r="F33" s="82">
        <f>J33</f>
        <v>100</v>
      </c>
      <c r="G33" s="28"/>
      <c r="H33" s="82">
        <f>J33</f>
        <v>100</v>
      </c>
      <c r="I33" s="104"/>
      <c r="J33" s="69">
        <f>L33*N33</f>
        <v>100</v>
      </c>
      <c r="L33" s="109">
        <v>1</v>
      </c>
      <c r="M33" s="1" t="s">
        <v>42</v>
      </c>
      <c r="N33" s="110">
        <v>100</v>
      </c>
      <c r="O33" s="111" t="s">
        <v>33</v>
      </c>
      <c r="P33" s="1" t="s">
        <v>22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5.45" x14ac:dyDescent="0.4">
      <c r="A34" s="11"/>
      <c r="B34" s="1"/>
      <c r="C34" s="1"/>
      <c r="D34" s="83"/>
      <c r="E34" s="18"/>
      <c r="F34" s="83"/>
      <c r="G34" s="18"/>
      <c r="H34" s="84"/>
      <c r="I34" s="103"/>
      <c r="J34" s="68"/>
      <c r="L34" s="109"/>
      <c r="M34" s="1"/>
      <c r="N34" s="110"/>
      <c r="O34" s="11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.45" x14ac:dyDescent="0.4">
      <c r="A35" s="51" t="s">
        <v>53</v>
      </c>
      <c r="B35" s="1"/>
      <c r="C35" s="1"/>
      <c r="D35" s="85"/>
      <c r="E35" s="18"/>
      <c r="F35" s="85"/>
      <c r="G35" s="18"/>
      <c r="H35" s="80"/>
      <c r="I35" s="103"/>
      <c r="J35" s="38"/>
      <c r="L35" s="109"/>
      <c r="M35" s="1"/>
      <c r="N35" s="110"/>
      <c r="O35" s="11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5.9" thickBot="1" x14ac:dyDescent="0.45">
      <c r="A36" s="66" t="s">
        <v>34</v>
      </c>
      <c r="B36" s="58"/>
      <c r="C36" s="58"/>
      <c r="D36" s="174">
        <f>J36</f>
        <v>120</v>
      </c>
      <c r="E36" s="178"/>
      <c r="F36" s="175">
        <v>0</v>
      </c>
      <c r="G36" s="178"/>
      <c r="H36" s="179">
        <v>0</v>
      </c>
      <c r="I36" s="104"/>
      <c r="J36" s="67">
        <f>L36*N36</f>
        <v>120</v>
      </c>
      <c r="L36" s="109">
        <v>12</v>
      </c>
      <c r="M36" s="1"/>
      <c r="N36" s="110">
        <v>10</v>
      </c>
      <c r="O36" s="111" t="s">
        <v>32</v>
      </c>
      <c r="P36" s="1" t="s">
        <v>22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.45" x14ac:dyDescent="0.4">
      <c r="A37" s="64"/>
      <c r="B37" s="1"/>
      <c r="C37" s="1"/>
      <c r="D37" s="60"/>
      <c r="E37" s="18"/>
      <c r="F37" s="87"/>
      <c r="G37" s="18"/>
      <c r="H37" s="84"/>
      <c r="I37" s="103"/>
      <c r="J37" s="65"/>
      <c r="L37" s="109"/>
      <c r="M37" s="1"/>
      <c r="N37" s="43"/>
      <c r="O37" s="11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7.600000000000001" x14ac:dyDescent="0.4">
      <c r="A38" s="52" t="s">
        <v>71</v>
      </c>
      <c r="B38" s="1"/>
      <c r="C38" s="1"/>
      <c r="D38" s="39"/>
      <c r="E38" s="18"/>
      <c r="F38" s="39"/>
      <c r="G38" s="18"/>
      <c r="H38" s="80"/>
      <c r="I38" s="103"/>
      <c r="J38" s="35"/>
      <c r="L38" s="109"/>
      <c r="M38" s="1"/>
      <c r="N38" s="43"/>
      <c r="O38" s="11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5.45" x14ac:dyDescent="0.4">
      <c r="A39" s="49" t="s">
        <v>8</v>
      </c>
      <c r="B39" s="1"/>
      <c r="C39" s="1"/>
      <c r="D39" s="33"/>
      <c r="E39" s="18"/>
      <c r="F39" s="33"/>
      <c r="G39" s="18"/>
      <c r="H39" s="80"/>
      <c r="I39" s="103"/>
      <c r="J39" s="33">
        <f>L39*N39</f>
        <v>0</v>
      </c>
      <c r="L39" s="112"/>
      <c r="M39" s="1" t="s">
        <v>42</v>
      </c>
      <c r="N39" s="43">
        <v>532</v>
      </c>
      <c r="O39" s="111" t="s">
        <v>33</v>
      </c>
      <c r="P39" s="1" t="s">
        <v>22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.45" x14ac:dyDescent="0.4">
      <c r="A40" s="49" t="s">
        <v>9</v>
      </c>
      <c r="B40" s="1"/>
      <c r="C40" s="1"/>
      <c r="D40" s="33">
        <f>J40</f>
        <v>5.9250000000000007</v>
      </c>
      <c r="E40" s="18"/>
      <c r="F40" s="33">
        <f>J40</f>
        <v>5.9250000000000007</v>
      </c>
      <c r="G40" s="18"/>
      <c r="H40" s="80"/>
      <c r="I40" s="103"/>
      <c r="J40" s="33">
        <f t="shared" ref="J40:J42" si="10">L40*N40</f>
        <v>5.9250000000000007</v>
      </c>
      <c r="L40" s="109">
        <f>(50/2000)</f>
        <v>2.5000000000000001E-2</v>
      </c>
      <c r="M40" s="1" t="s">
        <v>42</v>
      </c>
      <c r="N40" s="43">
        <v>237</v>
      </c>
      <c r="O40" s="111" t="s">
        <v>33</v>
      </c>
      <c r="P40" s="1" t="s">
        <v>22</v>
      </c>
      <c r="Q40" s="1"/>
      <c r="R40" s="1" t="s">
        <v>39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.45" x14ac:dyDescent="0.4">
      <c r="A41" s="49" t="s">
        <v>10</v>
      </c>
      <c r="B41" s="1"/>
      <c r="C41" s="1"/>
      <c r="D41" s="33">
        <f t="shared" ref="D41:D42" si="11">J41</f>
        <v>3.9674999999999998</v>
      </c>
      <c r="E41" s="18"/>
      <c r="F41" s="33"/>
      <c r="G41" s="18"/>
      <c r="H41" s="80"/>
      <c r="I41" s="103"/>
      <c r="J41" s="33">
        <f t="shared" si="10"/>
        <v>3.9674999999999998</v>
      </c>
      <c r="L41" s="109">
        <f>15/2000</f>
        <v>7.4999999999999997E-3</v>
      </c>
      <c r="M41" s="1" t="s">
        <v>42</v>
      </c>
      <c r="N41" s="43">
        <v>529</v>
      </c>
      <c r="O41" s="111" t="s">
        <v>33</v>
      </c>
      <c r="P41" s="1" t="s">
        <v>22</v>
      </c>
      <c r="Q41" s="1"/>
      <c r="R41" s="1" t="s">
        <v>40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9" thickBot="1" x14ac:dyDescent="0.45">
      <c r="A42" s="61" t="s">
        <v>11</v>
      </c>
      <c r="B42" s="58"/>
      <c r="C42" s="58"/>
      <c r="D42" s="62">
        <f t="shared" si="11"/>
        <v>5.9675000000000002</v>
      </c>
      <c r="E42" s="28"/>
      <c r="F42" s="62"/>
      <c r="G42" s="28"/>
      <c r="H42" s="82"/>
      <c r="I42" s="104"/>
      <c r="J42" s="62">
        <f t="shared" si="10"/>
        <v>5.9675000000000002</v>
      </c>
      <c r="L42" s="109">
        <f>35/2000</f>
        <v>1.7500000000000002E-2</v>
      </c>
      <c r="M42" s="1" t="s">
        <v>42</v>
      </c>
      <c r="N42" s="43">
        <v>341</v>
      </c>
      <c r="O42" s="111" t="s">
        <v>33</v>
      </c>
      <c r="P42" s="1" t="s">
        <v>22</v>
      </c>
      <c r="Q42" s="1"/>
      <c r="R42" s="1" t="s">
        <v>41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5.45" x14ac:dyDescent="0.4">
      <c r="A43" s="94" t="s">
        <v>51</v>
      </c>
      <c r="B43" s="95"/>
      <c r="C43" s="95"/>
      <c r="D43" s="96">
        <f>SUM(D37:D42)</f>
        <v>15.86</v>
      </c>
      <c r="E43" s="93"/>
      <c r="F43" s="97">
        <f>SUM(F40:F42)</f>
        <v>5.9250000000000007</v>
      </c>
      <c r="G43" s="93"/>
      <c r="H43" s="98">
        <v>0</v>
      </c>
      <c r="I43" s="103"/>
      <c r="J43" s="60"/>
      <c r="L43" s="109"/>
      <c r="M43" s="1"/>
      <c r="N43" s="43"/>
      <c r="O43" s="11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45" x14ac:dyDescent="0.4">
      <c r="A44" s="49"/>
      <c r="B44" s="1"/>
      <c r="C44" s="1"/>
      <c r="D44" s="33"/>
      <c r="E44" s="18"/>
      <c r="F44" s="33"/>
      <c r="G44" s="18"/>
      <c r="H44" s="80"/>
      <c r="I44" s="103"/>
      <c r="J44" s="33"/>
      <c r="L44" s="109"/>
      <c r="M44" s="1"/>
      <c r="N44" s="43"/>
      <c r="O44" s="11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7.600000000000001" x14ac:dyDescent="0.4">
      <c r="A45" s="51" t="s">
        <v>70</v>
      </c>
      <c r="B45" s="1"/>
      <c r="C45" s="1"/>
      <c r="D45" s="39"/>
      <c r="E45" s="18"/>
      <c r="F45" s="39"/>
      <c r="G45" s="18"/>
      <c r="H45" s="80"/>
      <c r="I45" s="103"/>
      <c r="J45" s="35"/>
      <c r="L45" s="109"/>
      <c r="M45" s="1"/>
      <c r="N45" s="43"/>
      <c r="O45" s="11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.45" x14ac:dyDescent="0.4">
      <c r="A46" s="6" t="s">
        <v>37</v>
      </c>
      <c r="B46" s="1"/>
      <c r="C46" s="1"/>
      <c r="D46" s="39">
        <f>J46</f>
        <v>38.400000000000006</v>
      </c>
      <c r="E46" s="18"/>
      <c r="F46" s="39"/>
      <c r="G46" s="18"/>
      <c r="H46" s="80"/>
      <c r="I46" s="103"/>
      <c r="J46" s="45">
        <f>L46*N46</f>
        <v>38.400000000000006</v>
      </c>
      <c r="L46" s="109">
        <v>1.5</v>
      </c>
      <c r="M46" s="1" t="s">
        <v>29</v>
      </c>
      <c r="N46" s="43">
        <v>25.6</v>
      </c>
      <c r="O46" s="111" t="s">
        <v>29</v>
      </c>
      <c r="P46" s="1" t="s">
        <v>22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45" x14ac:dyDescent="0.4">
      <c r="A47" s="6" t="s">
        <v>38</v>
      </c>
      <c r="B47" s="1"/>
      <c r="C47" s="1"/>
      <c r="D47" s="39">
        <f t="shared" ref="D47:D48" si="12">J47</f>
        <v>10.75</v>
      </c>
      <c r="E47" s="18"/>
      <c r="F47" s="39">
        <v>2</v>
      </c>
      <c r="G47" s="18"/>
      <c r="H47" s="80"/>
      <c r="I47" s="103"/>
      <c r="J47" s="45">
        <f>L47*N47</f>
        <v>10.75</v>
      </c>
      <c r="L47" s="109">
        <v>0.125</v>
      </c>
      <c r="M47" s="1" t="s">
        <v>29</v>
      </c>
      <c r="N47" s="43">
        <v>86</v>
      </c>
      <c r="O47" s="111" t="s">
        <v>29</v>
      </c>
      <c r="P47" s="1" t="s">
        <v>22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9" thickBot="1" x14ac:dyDescent="0.45">
      <c r="A48" s="57" t="s">
        <v>52</v>
      </c>
      <c r="B48" s="58"/>
      <c r="C48" s="58"/>
      <c r="D48" s="86">
        <f t="shared" si="12"/>
        <v>9.3000000000000007</v>
      </c>
      <c r="E48" s="28"/>
      <c r="F48" s="86"/>
      <c r="G48" s="28"/>
      <c r="H48" s="82"/>
      <c r="I48" s="104"/>
      <c r="J48" s="46">
        <f>N48*L48</f>
        <v>9.3000000000000007</v>
      </c>
      <c r="L48" s="109">
        <v>0.25</v>
      </c>
      <c r="M48" s="1" t="s">
        <v>29</v>
      </c>
      <c r="N48" s="43">
        <v>37.200000000000003</v>
      </c>
      <c r="O48" s="111" t="s">
        <v>29</v>
      </c>
      <c r="P48" s="1" t="s">
        <v>22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45" x14ac:dyDescent="0.4">
      <c r="A49" s="99" t="s">
        <v>49</v>
      </c>
      <c r="B49" s="95"/>
      <c r="C49" s="95"/>
      <c r="D49" s="97">
        <f>SUM(D46:D48)</f>
        <v>58.45</v>
      </c>
      <c r="E49" s="93"/>
      <c r="F49" s="97">
        <f>SUM(F46:F48)</f>
        <v>2</v>
      </c>
      <c r="G49" s="93"/>
      <c r="H49" s="98">
        <v>0</v>
      </c>
      <c r="I49" s="103"/>
      <c r="J49" s="63"/>
      <c r="L49" s="109"/>
      <c r="M49" s="1"/>
      <c r="N49" s="43"/>
      <c r="O49" s="11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45" x14ac:dyDescent="0.4">
      <c r="A50" s="6"/>
      <c r="B50" s="1"/>
      <c r="C50" s="1"/>
      <c r="D50" s="88"/>
      <c r="E50" s="18"/>
      <c r="F50" s="88"/>
      <c r="G50" s="18"/>
      <c r="H50" s="43"/>
      <c r="I50" s="103"/>
      <c r="J50" s="13"/>
      <c r="L50" s="109"/>
      <c r="M50" s="1"/>
      <c r="O50" s="111"/>
      <c r="P50" s="1"/>
      <c r="Q50" s="1"/>
      <c r="R50" s="1"/>
      <c r="S50" s="1"/>
      <c r="T50" s="1"/>
      <c r="U50" s="1"/>
      <c r="V50" s="1">
        <f>25*12</f>
        <v>300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7.600000000000001" x14ac:dyDescent="0.4">
      <c r="A51" s="51" t="s">
        <v>67</v>
      </c>
      <c r="B51" s="1"/>
      <c r="C51" s="1"/>
      <c r="D51" s="225"/>
      <c r="E51" s="225"/>
      <c r="F51" s="18"/>
      <c r="G51" s="18"/>
      <c r="H51" s="43"/>
      <c r="I51" s="103"/>
      <c r="J51" s="13"/>
      <c r="L51" s="109"/>
      <c r="M51" s="1"/>
      <c r="O51" s="11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45" x14ac:dyDescent="0.4">
      <c r="A52" s="6" t="s">
        <v>54</v>
      </c>
      <c r="B52" s="1"/>
      <c r="C52" s="1"/>
      <c r="D52" s="44">
        <f>J52</f>
        <v>17.670000000000002</v>
      </c>
      <c r="E52" s="18"/>
      <c r="F52" s="44"/>
      <c r="G52" s="18"/>
      <c r="H52" s="80"/>
      <c r="I52" s="103"/>
      <c r="J52" s="45">
        <f>L52*N52</f>
        <v>17.670000000000002</v>
      </c>
      <c r="L52" s="109">
        <v>1</v>
      </c>
      <c r="M52" s="1" t="s">
        <v>45</v>
      </c>
      <c r="N52">
        <v>17.670000000000002</v>
      </c>
      <c r="O52" s="111" t="s">
        <v>45</v>
      </c>
      <c r="P52" s="1" t="s">
        <v>22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45" x14ac:dyDescent="0.4">
      <c r="A53" s="6" t="s">
        <v>55</v>
      </c>
      <c r="B53" s="1"/>
      <c r="C53" s="1"/>
      <c r="D53" s="44">
        <f>J53*3</f>
        <v>28.589999999999996</v>
      </c>
      <c r="E53" s="18"/>
      <c r="F53" s="44">
        <f>J53</f>
        <v>9.5299999999999994</v>
      </c>
      <c r="G53" s="18"/>
      <c r="H53" s="80"/>
      <c r="I53" s="103"/>
      <c r="J53" s="45">
        <f t="shared" ref="J53:J60" si="13">L53*N53</f>
        <v>9.5299999999999994</v>
      </c>
      <c r="L53" s="109">
        <v>1</v>
      </c>
      <c r="M53" s="1" t="s">
        <v>45</v>
      </c>
      <c r="N53" s="43">
        <v>9.5299999999999994</v>
      </c>
      <c r="O53" s="111" t="s">
        <v>45</v>
      </c>
      <c r="P53" s="1" t="s">
        <v>22</v>
      </c>
      <c r="Q53" s="1"/>
      <c r="R53" s="92" t="s">
        <v>82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5.45" x14ac:dyDescent="0.4">
      <c r="A54" s="6" t="s">
        <v>56</v>
      </c>
      <c r="B54" s="1"/>
      <c r="C54" s="1"/>
      <c r="D54" s="44">
        <f>J54*2</f>
        <v>30.16</v>
      </c>
      <c r="E54" s="18"/>
      <c r="F54" s="44"/>
      <c r="G54" s="18"/>
      <c r="H54" s="80"/>
      <c r="I54" s="103"/>
      <c r="J54" s="45">
        <f t="shared" si="13"/>
        <v>15.08</v>
      </c>
      <c r="L54" s="109">
        <v>1</v>
      </c>
      <c r="M54" s="1" t="s">
        <v>45</v>
      </c>
      <c r="N54" s="70">
        <v>15.08</v>
      </c>
      <c r="O54" s="111" t="s">
        <v>45</v>
      </c>
      <c r="P54" s="1" t="s">
        <v>22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45" x14ac:dyDescent="0.4">
      <c r="A55" s="6" t="s">
        <v>57</v>
      </c>
      <c r="B55" s="1"/>
      <c r="C55" s="1"/>
      <c r="D55" s="44">
        <f t="shared" ref="D55" si="14">J55</f>
        <v>21.67</v>
      </c>
      <c r="E55" s="18"/>
      <c r="F55" s="44"/>
      <c r="G55" s="18"/>
      <c r="H55" s="80"/>
      <c r="I55" s="103"/>
      <c r="J55" s="45">
        <f t="shared" si="13"/>
        <v>21.67</v>
      </c>
      <c r="L55" s="109">
        <v>1</v>
      </c>
      <c r="M55" s="1" t="s">
        <v>45</v>
      </c>
      <c r="N55" s="70">
        <v>21.67</v>
      </c>
      <c r="O55" s="111" t="s">
        <v>45</v>
      </c>
      <c r="P55" s="1" t="s">
        <v>22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5.45" x14ac:dyDescent="0.4">
      <c r="A56" s="6" t="s">
        <v>58</v>
      </c>
      <c r="B56" s="1"/>
      <c r="C56" s="1"/>
      <c r="D56" s="44"/>
      <c r="E56" s="18"/>
      <c r="F56" s="44"/>
      <c r="G56" s="18"/>
      <c r="H56" s="80">
        <f>J56</f>
        <v>16.670000000000002</v>
      </c>
      <c r="I56" s="103"/>
      <c r="J56" s="45">
        <f t="shared" si="13"/>
        <v>16.670000000000002</v>
      </c>
      <c r="L56" s="109">
        <v>1</v>
      </c>
      <c r="M56" s="1" t="s">
        <v>45</v>
      </c>
      <c r="N56" s="70">
        <v>16.670000000000002</v>
      </c>
      <c r="O56" s="111" t="s">
        <v>45</v>
      </c>
      <c r="P56" s="1" t="s">
        <v>22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5.45" x14ac:dyDescent="0.4">
      <c r="A57" s="6" t="s">
        <v>59</v>
      </c>
      <c r="B57" s="1"/>
      <c r="C57" s="1"/>
      <c r="D57" s="44"/>
      <c r="E57" s="18"/>
      <c r="F57" s="44">
        <f t="shared" ref="F57:F58" si="15">J57</f>
        <v>6.54</v>
      </c>
      <c r="G57" s="18"/>
      <c r="H57" s="80">
        <f t="shared" ref="H57:H58" si="16">J57</f>
        <v>6.54</v>
      </c>
      <c r="I57" s="103"/>
      <c r="J57" s="45">
        <f t="shared" si="13"/>
        <v>6.54</v>
      </c>
      <c r="L57" s="109">
        <v>1</v>
      </c>
      <c r="M57" s="1" t="s">
        <v>45</v>
      </c>
      <c r="N57" s="70">
        <v>6.54</v>
      </c>
      <c r="O57" s="111" t="s">
        <v>45</v>
      </c>
      <c r="P57" s="1" t="s">
        <v>22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5.45" x14ac:dyDescent="0.4">
      <c r="A58" s="6" t="s">
        <v>60</v>
      </c>
      <c r="B58" s="1"/>
      <c r="C58" s="1"/>
      <c r="D58" s="44"/>
      <c r="E58" s="18"/>
      <c r="F58" s="44">
        <f t="shared" si="15"/>
        <v>15.32</v>
      </c>
      <c r="G58" s="18"/>
      <c r="H58" s="80">
        <f t="shared" si="16"/>
        <v>15.32</v>
      </c>
      <c r="I58" s="103"/>
      <c r="J58" s="45">
        <f t="shared" si="13"/>
        <v>15.32</v>
      </c>
      <c r="L58" s="109">
        <v>1</v>
      </c>
      <c r="M58" s="1" t="s">
        <v>45</v>
      </c>
      <c r="N58" s="70">
        <v>15.32</v>
      </c>
      <c r="O58" s="111" t="s">
        <v>45</v>
      </c>
      <c r="P58" s="1" t="s">
        <v>22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45" x14ac:dyDescent="0.4">
      <c r="A59" s="6" t="s">
        <v>61</v>
      </c>
      <c r="B59" s="1"/>
      <c r="C59" s="1"/>
      <c r="D59" s="44"/>
      <c r="E59" s="18"/>
      <c r="F59" s="44"/>
      <c r="G59" s="18"/>
      <c r="H59" s="80"/>
      <c r="I59" s="103"/>
      <c r="J59" s="45">
        <f t="shared" si="13"/>
        <v>53.12</v>
      </c>
      <c r="L59" s="109">
        <v>1</v>
      </c>
      <c r="M59" s="1" t="s">
        <v>45</v>
      </c>
      <c r="N59" s="70">
        <v>53.12</v>
      </c>
      <c r="O59" s="111" t="s">
        <v>45</v>
      </c>
      <c r="P59" s="1" t="s">
        <v>22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9" thickBot="1" x14ac:dyDescent="0.45">
      <c r="A60" s="57" t="s">
        <v>62</v>
      </c>
      <c r="B60" s="58"/>
      <c r="C60" s="58"/>
      <c r="D60" s="67"/>
      <c r="E60" s="28"/>
      <c r="F60" s="67">
        <f>J60</f>
        <v>34.909999999999997</v>
      </c>
      <c r="G60" s="28"/>
      <c r="H60" s="82"/>
      <c r="I60" s="104"/>
      <c r="J60" s="46">
        <f t="shared" si="13"/>
        <v>34.909999999999997</v>
      </c>
      <c r="L60" s="109">
        <v>1</v>
      </c>
      <c r="M60" s="1" t="s">
        <v>45</v>
      </c>
      <c r="N60" s="70">
        <v>34.909999999999997</v>
      </c>
      <c r="O60" s="111" t="s">
        <v>45</v>
      </c>
      <c r="P60" s="1" t="s">
        <v>22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5.45" x14ac:dyDescent="0.4">
      <c r="A61" s="100" t="s">
        <v>48</v>
      </c>
      <c r="B61" s="95"/>
      <c r="C61" s="95"/>
      <c r="D61" s="101">
        <f>SUM(D52:D60)</f>
        <v>98.09</v>
      </c>
      <c r="E61" s="101"/>
      <c r="F61" s="101">
        <f t="shared" ref="F61:H61" si="17">SUM(F52:F60)</f>
        <v>66.3</v>
      </c>
      <c r="G61" s="101"/>
      <c r="H61" s="101">
        <f t="shared" si="17"/>
        <v>38.53</v>
      </c>
      <c r="I61" s="103"/>
      <c r="J61" s="70"/>
      <c r="L61" s="109"/>
      <c r="M61" s="1"/>
      <c r="N61" s="70"/>
      <c r="O61" s="11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5.45" x14ac:dyDescent="0.4">
      <c r="A62" s="56"/>
      <c r="B62" s="1"/>
      <c r="C62" s="1"/>
      <c r="D62" s="89"/>
      <c r="E62" s="18"/>
      <c r="F62" s="89"/>
      <c r="G62" s="18"/>
      <c r="H62" s="43"/>
      <c r="I62" s="103"/>
      <c r="J62" s="36"/>
      <c r="L62" s="109"/>
      <c r="M62" s="1"/>
      <c r="O62" s="11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7.600000000000001" x14ac:dyDescent="0.4">
      <c r="A63" s="59" t="s">
        <v>68</v>
      </c>
      <c r="B63" s="1"/>
      <c r="C63" s="1"/>
      <c r="D63" s="44"/>
      <c r="E63" s="18"/>
      <c r="F63" s="44"/>
      <c r="G63" s="18"/>
      <c r="H63" s="80"/>
      <c r="I63" s="103"/>
      <c r="J63" s="34"/>
      <c r="L63" s="109"/>
      <c r="M63" s="1"/>
      <c r="O63" s="11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45" x14ac:dyDescent="0.4">
      <c r="A64" s="56" t="s">
        <v>63</v>
      </c>
      <c r="B64" s="1"/>
      <c r="C64" s="1"/>
      <c r="D64" s="44"/>
      <c r="E64" s="18"/>
      <c r="F64" s="44">
        <f>J64</f>
        <v>3.06</v>
      </c>
      <c r="G64" s="18"/>
      <c r="H64" s="80">
        <f>J64</f>
        <v>3.06</v>
      </c>
      <c r="I64" s="103"/>
      <c r="J64" s="45">
        <f>L64*N64</f>
        <v>3.06</v>
      </c>
      <c r="L64" s="109">
        <v>1</v>
      </c>
      <c r="M64" s="1" t="s">
        <v>44</v>
      </c>
      <c r="N64" s="110">
        <v>3.06</v>
      </c>
      <c r="O64" s="111" t="s">
        <v>44</v>
      </c>
      <c r="P64" s="1" t="s">
        <v>22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5.45" x14ac:dyDescent="0.4">
      <c r="A65" s="56" t="s">
        <v>64</v>
      </c>
      <c r="B65" s="1"/>
      <c r="C65" s="1"/>
      <c r="D65" s="44"/>
      <c r="E65" s="18"/>
      <c r="F65" s="44">
        <f t="shared" ref="F65:F66" si="18">J65</f>
        <v>0.8</v>
      </c>
      <c r="G65" s="18"/>
      <c r="H65" s="80"/>
      <c r="I65" s="103"/>
      <c r="J65" s="45">
        <f t="shared" ref="J65:J67" si="19">L65*N65</f>
        <v>0.8</v>
      </c>
      <c r="L65" s="109">
        <v>5</v>
      </c>
      <c r="M65" s="1" t="s">
        <v>47</v>
      </c>
      <c r="N65" s="110">
        <v>0.16</v>
      </c>
      <c r="O65" s="111" t="s">
        <v>46</v>
      </c>
      <c r="P65" s="1" t="s">
        <v>22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5.45" x14ac:dyDescent="0.4">
      <c r="A66" s="56" t="s">
        <v>65</v>
      </c>
      <c r="B66" s="1"/>
      <c r="C66" s="1"/>
      <c r="D66" s="44"/>
      <c r="E66" s="18"/>
      <c r="F66" s="44">
        <f t="shared" si="18"/>
        <v>0.52800000000000002</v>
      </c>
      <c r="G66" s="18"/>
      <c r="H66" s="80"/>
      <c r="I66" s="103"/>
      <c r="J66" s="45">
        <f t="shared" si="19"/>
        <v>0.52800000000000002</v>
      </c>
      <c r="L66" s="109">
        <v>3.3</v>
      </c>
      <c r="M66" s="1" t="s">
        <v>46</v>
      </c>
      <c r="N66" s="110">
        <v>0.16</v>
      </c>
      <c r="O66" s="111" t="s">
        <v>46</v>
      </c>
      <c r="P66" s="1" t="s">
        <v>22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9" thickBot="1" x14ac:dyDescent="0.45">
      <c r="A67" s="57" t="s">
        <v>78</v>
      </c>
      <c r="B67" s="58"/>
      <c r="C67" s="58"/>
      <c r="D67" s="67"/>
      <c r="E67" s="28"/>
      <c r="F67" s="44">
        <f>J67*L32</f>
        <v>39</v>
      </c>
      <c r="G67" s="28"/>
      <c r="H67" s="80"/>
      <c r="I67" s="104"/>
      <c r="J67" s="46">
        <f t="shared" si="19"/>
        <v>0.2</v>
      </c>
      <c r="K67" s="1"/>
      <c r="L67" s="109">
        <v>1</v>
      </c>
      <c r="M67" s="1" t="s">
        <v>32</v>
      </c>
      <c r="N67" s="110">
        <v>0.2</v>
      </c>
      <c r="O67" s="111" t="s">
        <v>32</v>
      </c>
      <c r="P67" s="1" t="s">
        <v>22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45" x14ac:dyDescent="0.4">
      <c r="A68" s="99" t="s">
        <v>50</v>
      </c>
      <c r="B68" s="95"/>
      <c r="C68" s="95"/>
      <c r="D68" s="93">
        <f>SUM(D63:D67)</f>
        <v>0</v>
      </c>
      <c r="E68" s="93"/>
      <c r="F68" s="93">
        <f t="shared" ref="F68:H68" si="20">SUM(F63:F67)</f>
        <v>43.387999999999998</v>
      </c>
      <c r="G68" s="93"/>
      <c r="H68" s="93">
        <f t="shared" si="20"/>
        <v>3.06</v>
      </c>
      <c r="I68" s="103"/>
      <c r="J68" s="1"/>
      <c r="K68" s="1"/>
      <c r="L68" s="109"/>
      <c r="M68" s="1"/>
      <c r="N68" s="1"/>
      <c r="O68" s="11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5.45" x14ac:dyDescent="0.4">
      <c r="A69" s="1"/>
      <c r="B69" s="1"/>
      <c r="C69" s="1"/>
      <c r="D69" s="18"/>
      <c r="E69" s="18"/>
      <c r="F69" s="18"/>
      <c r="G69" s="18"/>
      <c r="H69" s="18"/>
      <c r="I69" s="103"/>
      <c r="J69" s="1"/>
      <c r="K69" s="1"/>
      <c r="L69" s="109"/>
      <c r="M69" s="1"/>
      <c r="N69" s="1"/>
      <c r="O69" s="11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5.45" x14ac:dyDescent="0.4">
      <c r="A70" s="1"/>
      <c r="B70" s="1"/>
      <c r="C70" s="1"/>
      <c r="D70" s="18"/>
      <c r="E70" s="18"/>
      <c r="F70" s="18"/>
      <c r="G70" s="18"/>
      <c r="I70" s="176"/>
      <c r="J70" s="1"/>
      <c r="K70" s="1"/>
      <c r="L70" s="163"/>
      <c r="M70" s="129"/>
      <c r="N70" s="77"/>
      <c r="O70" s="130"/>
      <c r="X70" t="s">
        <v>140</v>
      </c>
      <c r="Z70" s="208">
        <v>30000</v>
      </c>
      <c r="AA70" t="s">
        <v>141</v>
      </c>
      <c r="AB70" s="1"/>
      <c r="AC70" s="1"/>
      <c r="AD70" s="1"/>
      <c r="AE70" s="1"/>
      <c r="AF70" s="1"/>
      <c r="AG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45" x14ac:dyDescent="0.4">
      <c r="A71" s="41" t="s">
        <v>119</v>
      </c>
      <c r="B71" s="1"/>
      <c r="C71" s="1"/>
      <c r="D71" s="18"/>
      <c r="E71" s="18"/>
      <c r="F71" s="18"/>
      <c r="G71" s="18"/>
      <c r="I71" s="176"/>
      <c r="J71" s="1"/>
      <c r="K71" s="1"/>
      <c r="L71" s="163"/>
      <c r="M71" s="129"/>
      <c r="N71" s="77"/>
      <c r="O71" s="130"/>
      <c r="Z71" s="43">
        <f>Z70*L74</f>
        <v>1425</v>
      </c>
      <c r="AA71" t="s">
        <v>142</v>
      </c>
      <c r="AB71" s="1"/>
      <c r="AC71" s="1"/>
      <c r="AD71" s="1"/>
      <c r="AE71" s="1"/>
      <c r="AF71" s="1"/>
      <c r="AG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45" x14ac:dyDescent="0.4">
      <c r="A72" s="1" t="s">
        <v>118</v>
      </c>
      <c r="B72" s="1"/>
      <c r="C72" s="1"/>
      <c r="D72" s="172">
        <f>J72</f>
        <v>2.2625000000000002</v>
      </c>
      <c r="E72" s="18"/>
      <c r="F72" s="172">
        <f>J72</f>
        <v>2.2625000000000002</v>
      </c>
      <c r="G72" s="172"/>
      <c r="H72" s="172">
        <f>J72</f>
        <v>2.2625000000000002</v>
      </c>
      <c r="I72" s="176"/>
      <c r="J72" s="135">
        <f>L72*N72</f>
        <v>2.2625000000000002</v>
      </c>
      <c r="K72" s="1"/>
      <c r="L72" s="171">
        <v>2.5000000000000001E-3</v>
      </c>
      <c r="M72" s="129" t="s">
        <v>81</v>
      </c>
      <c r="N72" s="77">
        <v>905</v>
      </c>
      <c r="O72" s="130"/>
      <c r="P72" t="s">
        <v>121</v>
      </c>
      <c r="Z72" s="43">
        <f>Z71/2</f>
        <v>712.5</v>
      </c>
      <c r="AA72" t="s">
        <v>143</v>
      </c>
      <c r="AB72" s="1"/>
      <c r="AC72" s="1"/>
      <c r="AD72" s="1"/>
      <c r="AE72" s="1"/>
      <c r="AF72" s="1"/>
      <c r="AG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5.45" x14ac:dyDescent="0.4">
      <c r="A73" s="1" t="s">
        <v>120</v>
      </c>
      <c r="B73" s="1"/>
      <c r="C73" s="1"/>
      <c r="D73" s="172"/>
      <c r="E73" s="18"/>
      <c r="F73" s="172"/>
      <c r="G73" s="172"/>
      <c r="H73" s="172"/>
      <c r="I73" s="176"/>
      <c r="J73" s="135">
        <f>L73*J33</f>
        <v>15.316666666666666</v>
      </c>
      <c r="K73" s="1"/>
      <c r="L73" s="173">
        <f>((N73*100)/60)/100</f>
        <v>0.15316666666666667</v>
      </c>
      <c r="M73" s="129" t="s">
        <v>32</v>
      </c>
      <c r="N73" s="77">
        <v>9.19</v>
      </c>
      <c r="O73" s="130" t="s">
        <v>46</v>
      </c>
      <c r="P73">
        <v>2022</v>
      </c>
      <c r="Q73" t="s">
        <v>122</v>
      </c>
      <c r="Z73" s="209">
        <f>Z72/1000</f>
        <v>0.71250000000000002</v>
      </c>
      <c r="AA73" t="s">
        <v>144</v>
      </c>
      <c r="AB73" s="1"/>
      <c r="AC73" s="1"/>
      <c r="AD73" s="1"/>
      <c r="AE73" s="1"/>
      <c r="AF73" s="1"/>
      <c r="AG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5.45" x14ac:dyDescent="0.4">
      <c r="A74" s="1" t="s">
        <v>79</v>
      </c>
      <c r="B74" s="1"/>
      <c r="C74" s="1"/>
      <c r="D74" s="172">
        <f>J74</f>
        <v>0.71250000000000002</v>
      </c>
      <c r="E74" s="18"/>
      <c r="F74" s="172">
        <f>J74</f>
        <v>0.71250000000000002</v>
      </c>
      <c r="G74" s="172"/>
      <c r="H74" s="172">
        <f>J74</f>
        <v>0.71250000000000002</v>
      </c>
      <c r="I74" s="176"/>
      <c r="J74" s="135">
        <f>(Z70*L74*N74)/1000</f>
        <v>0.71250000000000002</v>
      </c>
      <c r="K74" s="1"/>
      <c r="L74" s="171">
        <v>4.7500000000000001E-2</v>
      </c>
      <c r="M74" s="129">
        <f>Kernza!M81</f>
        <v>0</v>
      </c>
      <c r="N74" s="78">
        <v>0.5</v>
      </c>
      <c r="O74" s="130" t="s">
        <v>80</v>
      </c>
      <c r="P74" t="s">
        <v>145</v>
      </c>
      <c r="AB74" s="1"/>
      <c r="AC74" s="1"/>
      <c r="AD74" s="1"/>
      <c r="AE74" s="1"/>
      <c r="AF74" s="1"/>
      <c r="AG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45" x14ac:dyDescent="0.4">
      <c r="A75" s="1" t="s">
        <v>116</v>
      </c>
      <c r="B75" s="1"/>
      <c r="C75" s="1"/>
      <c r="D75" s="187">
        <f>J75</f>
        <v>9.0500000000000007</v>
      </c>
      <c r="E75" s="18"/>
      <c r="F75" s="187">
        <f>J75</f>
        <v>9.0500000000000007</v>
      </c>
      <c r="G75" s="187"/>
      <c r="H75" s="187">
        <f>J75</f>
        <v>9.0500000000000007</v>
      </c>
      <c r="I75" s="176"/>
      <c r="J75" s="135">
        <f>L75*N75</f>
        <v>9.0500000000000007</v>
      </c>
      <c r="K75" s="1"/>
      <c r="L75" s="170">
        <v>0.01</v>
      </c>
      <c r="M75" s="129" t="s">
        <v>81</v>
      </c>
      <c r="N75" s="77">
        <v>905</v>
      </c>
      <c r="O75" s="130"/>
      <c r="P75" t="s">
        <v>117</v>
      </c>
      <c r="U75" s="185" t="s">
        <v>126</v>
      </c>
      <c r="V75" s="185"/>
      <c r="W75" s="185"/>
      <c r="X75" s="43"/>
      <c r="AB75" s="1"/>
      <c r="AC75" s="1"/>
      <c r="AD75" s="1"/>
      <c r="AE75" s="1"/>
      <c r="AF75" s="1"/>
      <c r="AG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7.149999999999999" x14ac:dyDescent="0.4">
      <c r="A76" s="9" t="s">
        <v>83</v>
      </c>
      <c r="B76" s="9"/>
      <c r="C76" s="9"/>
      <c r="D76" s="186">
        <f>J76</f>
        <v>37</v>
      </c>
      <c r="E76" s="114"/>
      <c r="F76" s="186">
        <f>J76</f>
        <v>37</v>
      </c>
      <c r="G76" s="186"/>
      <c r="H76" s="186">
        <f>J76</f>
        <v>37</v>
      </c>
      <c r="I76" s="176"/>
      <c r="J76" s="135">
        <f>(L76*N76)</f>
        <v>37</v>
      </c>
      <c r="K76" s="1"/>
      <c r="L76" s="163">
        <v>1</v>
      </c>
      <c r="M76" s="129" t="s">
        <v>45</v>
      </c>
      <c r="N76" s="77">
        <v>37</v>
      </c>
      <c r="O76" s="130">
        <f>Kernza!O78</f>
        <v>0</v>
      </c>
      <c r="P76" t="s">
        <v>124</v>
      </c>
      <c r="U76" s="185" t="s">
        <v>125</v>
      </c>
      <c r="V76" s="185"/>
      <c r="W76" s="185"/>
      <c r="AB76" s="1"/>
      <c r="AC76" s="1"/>
      <c r="AD76" s="1"/>
      <c r="AE76" s="1"/>
      <c r="AF76" s="1"/>
      <c r="AG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45" x14ac:dyDescent="0.4">
      <c r="A77" s="95" t="s">
        <v>127</v>
      </c>
      <c r="B77" s="95"/>
      <c r="C77" s="95"/>
      <c r="D77" s="93">
        <f>D72+D73+D74+D76</f>
        <v>39.975000000000001</v>
      </c>
      <c r="E77" s="93"/>
      <c r="F77" s="93">
        <f t="shared" ref="F77" si="21">F72+F73+F74+F76</f>
        <v>39.975000000000001</v>
      </c>
      <c r="G77" s="93"/>
      <c r="H77" s="93">
        <f t="shared" ref="H77" si="22">H72+H73+H74+H76</f>
        <v>39.975000000000001</v>
      </c>
      <c r="I77" s="177"/>
      <c r="J77" s="163"/>
      <c r="K77" s="129"/>
      <c r="L77" s="129"/>
      <c r="M77" s="13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45" x14ac:dyDescent="0.4">
      <c r="B78" s="1" t="s">
        <v>146</v>
      </c>
      <c r="C78" s="1"/>
      <c r="D78" s="188">
        <f>D36+D43+D49+D61+D68</f>
        <v>292.39999999999998</v>
      </c>
      <c r="E78" s="188"/>
      <c r="F78" s="188">
        <f t="shared" ref="F78:H78" si="23">F36+F43+F49+F61+F68</f>
        <v>117.613</v>
      </c>
      <c r="G78" s="188"/>
      <c r="H78" s="188">
        <f t="shared" si="23"/>
        <v>41.59</v>
      </c>
      <c r="I78" s="177"/>
      <c r="J78" s="78"/>
      <c r="K78" s="129"/>
      <c r="L78" s="129"/>
      <c r="M78" s="12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45" x14ac:dyDescent="0.4">
      <c r="A79" s="189" t="s">
        <v>147</v>
      </c>
      <c r="B79" s="189"/>
      <c r="C79" s="189"/>
      <c r="D79" s="190">
        <f>D77+D78</f>
        <v>332.375</v>
      </c>
      <c r="E79" s="190"/>
      <c r="F79" s="190">
        <f t="shared" ref="F79" si="24">F77+F78</f>
        <v>157.58799999999999</v>
      </c>
      <c r="G79" s="190"/>
      <c r="H79" s="190">
        <f t="shared" ref="H79" si="25">H77+H78</f>
        <v>81.564999999999998</v>
      </c>
      <c r="I79" s="177"/>
      <c r="J79" s="78"/>
      <c r="K79" s="129"/>
      <c r="L79" s="129"/>
      <c r="M79" s="12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45" x14ac:dyDescent="0.4">
      <c r="A80" s="1"/>
      <c r="B80" s="1"/>
      <c r="C80" s="1"/>
      <c r="D80" s="18"/>
      <c r="E80" s="18"/>
      <c r="F80" s="18"/>
      <c r="G80" s="18"/>
      <c r="H80" s="18"/>
      <c r="I80" s="177"/>
      <c r="J80" s="78"/>
      <c r="K80" s="129"/>
      <c r="L80" s="129"/>
      <c r="M80" s="12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45" x14ac:dyDescent="0.4">
      <c r="A81" s="95" t="s">
        <v>128</v>
      </c>
      <c r="B81" s="95"/>
      <c r="C81" s="95"/>
      <c r="D81" s="93">
        <f>D72+D73+D74+D75</f>
        <v>12.025</v>
      </c>
      <c r="E81" s="93"/>
      <c r="F81" s="93">
        <f t="shared" ref="F81" si="26">F72+F73+F74+F75</f>
        <v>12.025</v>
      </c>
      <c r="G81" s="93"/>
      <c r="H81" s="93">
        <f t="shared" ref="H81" si="27">H72+H73+H74+H75</f>
        <v>12.025</v>
      </c>
      <c r="I81" s="177"/>
      <c r="J81" s="78"/>
      <c r="K81" s="129"/>
      <c r="L81" s="129"/>
      <c r="M81" s="12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45" x14ac:dyDescent="0.4">
      <c r="A82" s="1"/>
      <c r="B82" s="1" t="s">
        <v>148</v>
      </c>
      <c r="C82" s="1"/>
      <c r="D82" s="18">
        <f>D36+D43+D49+D61+D68</f>
        <v>292.39999999999998</v>
      </c>
      <c r="E82" s="18"/>
      <c r="F82" s="18">
        <f t="shared" ref="F82:H82" si="28">F36+F43+F49+F61+F68</f>
        <v>117.613</v>
      </c>
      <c r="G82" s="18"/>
      <c r="H82" s="18">
        <f t="shared" si="28"/>
        <v>41.59</v>
      </c>
      <c r="I82" s="177"/>
      <c r="J82" s="78"/>
      <c r="K82" s="129"/>
      <c r="L82" s="129"/>
      <c r="M82" s="12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45" x14ac:dyDescent="0.4">
      <c r="A83" s="189" t="s">
        <v>129</v>
      </c>
      <c r="B83" s="189"/>
      <c r="C83" s="189"/>
      <c r="D83" s="190">
        <f>D82+D81</f>
        <v>304.42499999999995</v>
      </c>
      <c r="E83" s="190"/>
      <c r="F83" s="190">
        <f t="shared" ref="F83" si="29">F82+F81</f>
        <v>129.63800000000001</v>
      </c>
      <c r="G83" s="190"/>
      <c r="H83" s="190">
        <f t="shared" ref="H83" si="30">H82+H81</f>
        <v>53.615000000000002</v>
      </c>
      <c r="I83" s="177"/>
      <c r="J83" s="1"/>
      <c r="K83" s="1"/>
      <c r="L83" s="1"/>
      <c r="M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45" x14ac:dyDescent="0.4">
      <c r="A84" s="1"/>
      <c r="B84" s="1"/>
      <c r="C84" s="1"/>
      <c r="D84" s="18"/>
      <c r="E84" s="18"/>
      <c r="F84" s="18"/>
      <c r="G84" s="18"/>
      <c r="H84" s="18"/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4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45" x14ac:dyDescent="0.4">
      <c r="A86" s="1" t="s">
        <v>69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45" x14ac:dyDescent="0.4">
      <c r="A87" s="1" t="s">
        <v>72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5.45" x14ac:dyDescent="0.4">
      <c r="A88" s="1" t="s">
        <v>84</v>
      </c>
      <c r="B88" s="1"/>
      <c r="C88" s="1"/>
      <c r="D88" s="1"/>
      <c r="E88" s="1"/>
      <c r="F88" s="1"/>
      <c r="G88" s="116" t="s">
        <v>85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5.45" x14ac:dyDescent="0.4">
      <c r="A89" s="1" t="s">
        <v>23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5.4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5.45" x14ac:dyDescent="0.4">
      <c r="A91" s="1" t="s">
        <v>24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5.4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5.4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24.9" x14ac:dyDescent="0.55000000000000004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5.9" x14ac:dyDescent="0.45">
      <c r="A95" s="1"/>
      <c r="B95" s="1"/>
      <c r="C95" s="1"/>
      <c r="D95" s="138"/>
      <c r="E95" s="1"/>
      <c r="F95" s="138"/>
      <c r="G95" s="1"/>
      <c r="H95" s="13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5.45" x14ac:dyDescent="0.4">
      <c r="A96" s="4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5.9" x14ac:dyDescent="0.45">
      <c r="A97" s="139"/>
      <c r="B97" s="1"/>
      <c r="C97" s="1"/>
      <c r="D97" s="140"/>
      <c r="E97" s="1"/>
      <c r="F97" s="140"/>
      <c r="G97" s="1"/>
      <c r="H97" s="14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5.9" x14ac:dyDescent="0.45">
      <c r="A98" s="139"/>
      <c r="B98" s="1"/>
      <c r="C98" s="1"/>
      <c r="D98" s="140"/>
      <c r="E98" s="1"/>
      <c r="F98" s="140"/>
      <c r="G98" s="1"/>
      <c r="H98" s="14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5.45" x14ac:dyDescent="0.4">
      <c r="A99" s="139"/>
      <c r="B99" s="1"/>
      <c r="C99" s="1"/>
      <c r="D99" s="142"/>
      <c r="E99" s="1"/>
      <c r="F99" s="142"/>
      <c r="G99" s="1"/>
      <c r="H99" s="14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5.9" x14ac:dyDescent="0.45">
      <c r="A100" s="139"/>
      <c r="B100" s="1"/>
      <c r="C100" s="1"/>
      <c r="D100" s="143"/>
      <c r="E100" s="1"/>
      <c r="F100" s="143"/>
      <c r="G100" s="1"/>
      <c r="H100" s="1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5.9" x14ac:dyDescent="0.45">
      <c r="A101" s="139"/>
      <c r="B101" s="1"/>
      <c r="C101" s="1"/>
      <c r="D101" s="145"/>
      <c r="E101" s="1"/>
      <c r="F101" s="145"/>
      <c r="G101" s="1"/>
      <c r="H101" s="14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5.9" x14ac:dyDescent="0.45">
      <c r="A102" s="139"/>
      <c r="B102" s="1"/>
      <c r="C102" s="1"/>
      <c r="D102" s="146"/>
      <c r="E102" s="1"/>
      <c r="F102" s="146"/>
      <c r="G102" s="1"/>
      <c r="H102" s="14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5.9" x14ac:dyDescent="0.45">
      <c r="A103" s="139"/>
      <c r="B103" s="1"/>
      <c r="C103" s="1"/>
      <c r="D103" s="143"/>
      <c r="E103" s="1"/>
      <c r="F103" s="143"/>
      <c r="G103" s="1"/>
      <c r="H103" s="14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5.9" x14ac:dyDescent="0.45">
      <c r="A104" s="139"/>
      <c r="B104" s="1"/>
      <c r="C104" s="1"/>
      <c r="D104" s="147"/>
      <c r="E104" s="1"/>
      <c r="F104" s="147"/>
      <c r="G104" s="1"/>
      <c r="H104" s="14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5.9" x14ac:dyDescent="0.45">
      <c r="A105" s="148"/>
      <c r="B105" s="1"/>
      <c r="C105" s="1"/>
      <c r="D105" s="4"/>
      <c r="E105" s="1"/>
      <c r="F105" s="4"/>
      <c r="G105" s="1"/>
      <c r="H105" s="14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5.4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5.45" x14ac:dyDescent="0.4">
      <c r="A107" s="4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5.9" x14ac:dyDescent="0.45">
      <c r="A108" s="139"/>
      <c r="B108" s="1"/>
      <c r="C108" s="1"/>
      <c r="D108" s="149"/>
      <c r="E108" s="1"/>
      <c r="F108" s="147"/>
      <c r="G108" s="1"/>
      <c r="H108" s="14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5.9" x14ac:dyDescent="0.45">
      <c r="A109" s="139"/>
      <c r="B109" s="1"/>
      <c r="C109" s="1"/>
      <c r="D109" s="147"/>
      <c r="E109" s="1"/>
      <c r="F109" s="147"/>
      <c r="G109" s="1"/>
      <c r="H109" s="14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5.9" x14ac:dyDescent="0.45">
      <c r="A110" s="139"/>
      <c r="B110" s="1"/>
      <c r="C110" s="1"/>
      <c r="D110" s="147"/>
      <c r="E110" s="1"/>
      <c r="F110" s="147"/>
      <c r="G110" s="1"/>
      <c r="H110" s="14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5.9" x14ac:dyDescent="0.45">
      <c r="A111" s="139"/>
      <c r="B111" s="1"/>
      <c r="C111" s="1"/>
      <c r="D111" s="147"/>
      <c r="E111" s="1"/>
      <c r="F111" s="147"/>
      <c r="G111" s="1"/>
      <c r="H111" s="14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5.9" x14ac:dyDescent="0.45">
      <c r="A112" s="150"/>
      <c r="B112" s="1"/>
      <c r="C112" s="1"/>
      <c r="D112" s="147"/>
      <c r="E112" s="1"/>
      <c r="F112" s="147"/>
      <c r="G112" s="1"/>
      <c r="H112" s="14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5.9" x14ac:dyDescent="0.45">
      <c r="A113" s="139"/>
      <c r="B113" s="1"/>
      <c r="C113" s="1"/>
      <c r="D113" s="147"/>
      <c r="E113" s="1"/>
      <c r="F113" s="147"/>
      <c r="G113" s="1"/>
      <c r="H113" s="14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5.9" x14ac:dyDescent="0.45">
      <c r="A114" s="139"/>
      <c r="B114" s="1"/>
      <c r="C114" s="1"/>
      <c r="D114" s="151"/>
      <c r="E114" s="1"/>
      <c r="F114" s="151"/>
      <c r="G114" s="1"/>
      <c r="H114" s="15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5.9" x14ac:dyDescent="0.45">
      <c r="A115" s="148"/>
      <c r="B115" s="1"/>
      <c r="C115" s="1"/>
      <c r="D115" s="4"/>
      <c r="E115" s="1"/>
      <c r="F115" s="4"/>
      <c r="G115" s="1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5.4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5.9" x14ac:dyDescent="0.45">
      <c r="A117" s="3"/>
      <c r="B117" s="1"/>
      <c r="C117" s="1"/>
      <c r="D117" s="4"/>
      <c r="E117" s="1"/>
      <c r="F117" s="4"/>
      <c r="G117" s="1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5.9" x14ac:dyDescent="0.45">
      <c r="A118" s="3"/>
      <c r="B118" s="1"/>
      <c r="C118" s="1"/>
      <c r="D118" s="4"/>
      <c r="E118" s="1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9.75" x14ac:dyDescent="0.45">
      <c r="A119" s="152"/>
      <c r="B119" s="1"/>
      <c r="C119" s="1"/>
      <c r="D119" s="5"/>
      <c r="E119" s="1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5.9" x14ac:dyDescent="0.45">
      <c r="A120" s="1"/>
      <c r="B120" s="1"/>
      <c r="C120" s="1"/>
      <c r="D120" s="153"/>
      <c r="E120" s="1"/>
      <c r="F120" s="153"/>
      <c r="G120" s="1"/>
      <c r="H120" s="15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5.9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5.9" x14ac:dyDescent="0.45">
      <c r="A122" s="155"/>
      <c r="B122" s="1"/>
      <c r="C122" s="1"/>
      <c r="D122" s="144"/>
      <c r="E122" s="1"/>
      <c r="F122" s="156"/>
      <c r="G122" s="1"/>
      <c r="H122" s="15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5.9" x14ac:dyDescent="0.45">
      <c r="A123" s="155"/>
      <c r="B123" s="1"/>
      <c r="C123" s="1"/>
      <c r="D123" s="158"/>
      <c r="E123" s="1"/>
      <c r="F123" s="156"/>
      <c r="G123" s="1"/>
      <c r="H123" s="15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5.9" x14ac:dyDescent="0.45">
      <c r="A124" s="155"/>
      <c r="B124" s="1"/>
      <c r="C124" s="1"/>
      <c r="D124" s="159"/>
      <c r="E124" s="1"/>
      <c r="F124" s="156"/>
      <c r="G124" s="1"/>
      <c r="H124" s="15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5.9" x14ac:dyDescent="0.45">
      <c r="A125" s="160"/>
      <c r="B125" s="1"/>
      <c r="C125" s="1"/>
      <c r="D125" s="156"/>
      <c r="E125" s="1"/>
      <c r="F125" s="156"/>
      <c r="G125" s="1"/>
      <c r="H125" s="15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5.9" x14ac:dyDescent="0.45">
      <c r="A126" s="139"/>
      <c r="B126" s="1"/>
      <c r="C126" s="1"/>
      <c r="D126" s="7"/>
      <c r="E126" s="1"/>
      <c r="F126" s="7"/>
      <c r="G126" s="1"/>
      <c r="H126" s="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5.9" x14ac:dyDescent="0.45">
      <c r="A127" s="139"/>
      <c r="B127" s="1"/>
      <c r="C127" s="1"/>
      <c r="D127" s="7"/>
      <c r="E127" s="1"/>
      <c r="F127" s="7"/>
      <c r="G127" s="1"/>
      <c r="H127" s="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5.9" x14ac:dyDescent="0.45">
      <c r="A128" s="139"/>
      <c r="B128" s="1"/>
      <c r="C128" s="1"/>
      <c r="D128" s="7"/>
      <c r="E128" s="1"/>
      <c r="F128" s="7"/>
      <c r="G128" s="1"/>
      <c r="H128" s="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5.9" x14ac:dyDescent="0.45">
      <c r="A129" s="139"/>
      <c r="B129" s="1"/>
      <c r="C129" s="1"/>
      <c r="D129" s="7"/>
      <c r="E129" s="1"/>
      <c r="F129" s="7"/>
      <c r="G129" s="1"/>
      <c r="H129" s="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5.9" x14ac:dyDescent="0.45">
      <c r="A130" s="139"/>
      <c r="B130" s="1"/>
      <c r="C130" s="1"/>
      <c r="D130" s="7"/>
      <c r="E130" s="1"/>
      <c r="F130" s="7"/>
      <c r="G130" s="1"/>
      <c r="H130" s="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5.9" x14ac:dyDescent="0.45">
      <c r="A131" s="139"/>
      <c r="B131" s="1"/>
      <c r="C131" s="1"/>
      <c r="D131" s="7"/>
      <c r="E131" s="1"/>
      <c r="F131" s="7"/>
      <c r="G131" s="1"/>
      <c r="H131" s="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5.9" x14ac:dyDescent="0.45">
      <c r="A132" s="139"/>
      <c r="B132" s="1"/>
      <c r="C132" s="1"/>
      <c r="D132" s="7"/>
      <c r="E132" s="1"/>
      <c r="F132" s="7"/>
      <c r="G132" s="1"/>
      <c r="H132" s="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5.9" x14ac:dyDescent="0.45">
      <c r="A133" s="3"/>
      <c r="B133" s="1"/>
      <c r="C133" s="1"/>
      <c r="D133" s="156"/>
      <c r="E133" s="1"/>
      <c r="F133" s="156"/>
      <c r="G133" s="1"/>
      <c r="H133" s="15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5.9" x14ac:dyDescent="0.45">
      <c r="A134" s="1"/>
      <c r="B134" s="1"/>
      <c r="C134" s="1"/>
      <c r="D134" s="156"/>
      <c r="E134" s="1"/>
      <c r="F134" s="156"/>
      <c r="G134" s="1"/>
      <c r="H134" s="14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5.9" x14ac:dyDescent="0.45">
      <c r="A135" s="1"/>
      <c r="B135" s="1"/>
      <c r="C135" s="1"/>
      <c r="D135" s="156"/>
      <c r="E135" s="1"/>
      <c r="F135" s="156"/>
      <c r="G135" s="1"/>
      <c r="H135" s="14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5.9" x14ac:dyDescent="0.45">
      <c r="A136" s="1"/>
      <c r="B136" s="1"/>
      <c r="C136" s="1"/>
      <c r="D136" s="156"/>
      <c r="E136" s="1"/>
      <c r="F136" s="156"/>
      <c r="G136" s="1"/>
      <c r="H136" s="14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5.9" x14ac:dyDescent="0.45">
      <c r="A137" s="1"/>
      <c r="B137" s="1"/>
      <c r="C137" s="1"/>
      <c r="D137" s="161"/>
      <c r="E137" s="1"/>
      <c r="F137" s="16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5.9" x14ac:dyDescent="0.45">
      <c r="A138" s="1"/>
      <c r="B138" s="1"/>
      <c r="C138" s="1"/>
      <c r="D138" s="153"/>
      <c r="E138" s="1"/>
      <c r="F138" s="153"/>
      <c r="G138" s="1"/>
      <c r="H138" s="15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5.9" x14ac:dyDescent="0.45">
      <c r="A139" s="3"/>
      <c r="B139" s="1"/>
      <c r="C139" s="1"/>
      <c r="D139" s="226"/>
      <c r="E139" s="22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5.9" x14ac:dyDescent="0.45">
      <c r="A140" s="1"/>
      <c r="B140" s="1"/>
      <c r="C140" s="1"/>
      <c r="D140" s="157"/>
      <c r="E140" s="1"/>
      <c r="F140" s="157"/>
      <c r="G140" s="1"/>
      <c r="H140" s="14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5.9" x14ac:dyDescent="0.45">
      <c r="A141" s="1"/>
      <c r="B141" s="1"/>
      <c r="C141" s="1"/>
      <c r="D141" s="157"/>
      <c r="E141" s="1"/>
      <c r="F141" s="157"/>
      <c r="G141" s="1"/>
      <c r="H141" s="14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5.9" x14ac:dyDescent="0.45">
      <c r="A142" s="1"/>
      <c r="B142" s="1"/>
      <c r="C142" s="1"/>
      <c r="D142" s="157"/>
      <c r="E142" s="1"/>
      <c r="F142" s="157"/>
      <c r="G142" s="1"/>
      <c r="H142" s="14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5.9" x14ac:dyDescent="0.45">
      <c r="A143" s="1"/>
      <c r="B143" s="1"/>
      <c r="C143" s="1"/>
      <c r="D143" s="157"/>
      <c r="E143" s="1"/>
      <c r="F143" s="157"/>
      <c r="G143" s="1"/>
      <c r="H143" s="14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5.9" x14ac:dyDescent="0.45">
      <c r="A144" s="1"/>
      <c r="B144" s="1"/>
      <c r="C144" s="1"/>
      <c r="D144" s="157"/>
      <c r="E144" s="1"/>
      <c r="F144" s="157"/>
      <c r="G144" s="1"/>
      <c r="H144" s="14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5.9" x14ac:dyDescent="0.45">
      <c r="A145" s="1"/>
      <c r="B145" s="1"/>
      <c r="C145" s="1"/>
      <c r="D145" s="157"/>
      <c r="E145" s="1"/>
      <c r="F145" s="157"/>
      <c r="G145" s="1"/>
      <c r="H145" s="14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5.9" x14ac:dyDescent="0.45">
      <c r="A146" s="1"/>
      <c r="B146" s="1"/>
      <c r="C146" s="1"/>
      <c r="D146" s="157"/>
      <c r="E146" s="1"/>
      <c r="F146" s="157"/>
      <c r="G146" s="1"/>
      <c r="H146" s="14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5.9" x14ac:dyDescent="0.45">
      <c r="A147" s="1"/>
      <c r="B147" s="1"/>
      <c r="C147" s="1"/>
      <c r="D147" s="157"/>
      <c r="E147" s="1"/>
      <c r="F147" s="157"/>
      <c r="G147" s="1"/>
      <c r="H147" s="14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5.4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5.4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25.3" x14ac:dyDescent="0.6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5.9" x14ac:dyDescent="0.45">
      <c r="A151" s="1"/>
      <c r="B151" s="1"/>
      <c r="C151" s="1"/>
      <c r="D151" s="138"/>
      <c r="E151" s="1"/>
      <c r="F151" s="138"/>
      <c r="G151" s="1"/>
      <c r="I151" s="1"/>
      <c r="J151" s="13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5.45" x14ac:dyDescent="0.4">
      <c r="A152" s="4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5.9" x14ac:dyDescent="0.45">
      <c r="A153" s="139"/>
      <c r="B153" s="1"/>
      <c r="C153" s="1"/>
      <c r="D153" s="140"/>
      <c r="E153" s="1"/>
      <c r="F153" s="140"/>
      <c r="G153" s="1"/>
      <c r="I153" s="1"/>
      <c r="J153" s="14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5.45" x14ac:dyDescent="0.4">
      <c r="A154" s="139"/>
      <c r="B154" s="1"/>
      <c r="C154" s="1"/>
      <c r="D154" s="142"/>
      <c r="E154" s="1"/>
      <c r="F154" s="142"/>
      <c r="G154" s="1"/>
      <c r="I154" s="1"/>
      <c r="J154" s="14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5.9" x14ac:dyDescent="0.45">
      <c r="A155" s="139"/>
      <c r="B155" s="1"/>
      <c r="C155" s="1"/>
      <c r="D155" s="143"/>
      <c r="E155" s="1"/>
      <c r="F155" s="143"/>
      <c r="G155" s="1"/>
      <c r="I155" s="1"/>
      <c r="J155" s="14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5.9" x14ac:dyDescent="0.45">
      <c r="A156" s="139"/>
      <c r="B156" s="1"/>
      <c r="C156" s="1"/>
      <c r="D156" s="145"/>
      <c r="E156" s="1"/>
      <c r="F156" s="145"/>
      <c r="G156" s="1"/>
      <c r="I156" s="1"/>
      <c r="J156" s="14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5.9" x14ac:dyDescent="0.45">
      <c r="A157" s="139"/>
      <c r="B157" s="1"/>
      <c r="C157" s="1"/>
      <c r="D157" s="146"/>
      <c r="E157" s="1"/>
      <c r="F157" s="146"/>
      <c r="G157" s="1"/>
      <c r="I157" s="1"/>
      <c r="J157" s="14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5.9" x14ac:dyDescent="0.45">
      <c r="A158" s="139"/>
      <c r="B158" s="1"/>
      <c r="C158" s="1"/>
      <c r="D158" s="143"/>
      <c r="E158" s="1"/>
      <c r="F158" s="143"/>
      <c r="G158" s="1"/>
      <c r="I158" s="1"/>
      <c r="J158" s="14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5.9" x14ac:dyDescent="0.45">
      <c r="A159" s="139"/>
      <c r="B159" s="1"/>
      <c r="C159" s="1"/>
      <c r="D159" s="147"/>
      <c r="E159" s="1"/>
      <c r="F159" s="147"/>
      <c r="G159" s="1"/>
      <c r="I159" s="1"/>
      <c r="J159" s="14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5.9" x14ac:dyDescent="0.45">
      <c r="A160" s="148"/>
      <c r="B160" s="1"/>
      <c r="C160" s="1"/>
      <c r="D160" s="4"/>
      <c r="E160" s="1"/>
      <c r="F160" s="4"/>
      <c r="G160" s="1"/>
      <c r="I160" s="1"/>
      <c r="J160" s="14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5.45" x14ac:dyDescent="0.4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5.9" x14ac:dyDescent="0.45">
      <c r="A162" s="3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5.9" x14ac:dyDescent="0.45">
      <c r="A163" s="139"/>
      <c r="B163" s="1"/>
      <c r="C163" s="1"/>
      <c r="D163" s="149"/>
      <c r="E163" s="1"/>
      <c r="F163" s="147"/>
      <c r="G163" s="1"/>
      <c r="I163" s="1"/>
      <c r="J163" s="14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5.9" x14ac:dyDescent="0.45">
      <c r="A164" s="139"/>
      <c r="B164" s="1"/>
      <c r="C164" s="1"/>
      <c r="D164" s="147"/>
      <c r="E164" s="1"/>
      <c r="F164" s="147"/>
      <c r="G164" s="1"/>
      <c r="I164" s="1"/>
      <c r="J164" s="14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5.9" x14ac:dyDescent="0.45">
      <c r="A165" s="139"/>
      <c r="B165" s="1"/>
      <c r="C165" s="1"/>
      <c r="D165" s="147"/>
      <c r="E165" s="1"/>
      <c r="F165" s="147"/>
      <c r="G165" s="1"/>
      <c r="I165" s="1"/>
      <c r="J165" s="14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5.9" x14ac:dyDescent="0.45">
      <c r="A166" s="139"/>
      <c r="B166" s="1"/>
      <c r="C166" s="1"/>
      <c r="D166" s="147"/>
      <c r="E166" s="1"/>
      <c r="F166" s="147"/>
      <c r="G166" s="1"/>
      <c r="I166" s="1"/>
      <c r="J166" s="14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5.9" x14ac:dyDescent="0.45">
      <c r="A167" s="150"/>
      <c r="B167" s="1"/>
      <c r="C167" s="1"/>
      <c r="D167" s="147"/>
      <c r="E167" s="1"/>
      <c r="F167" s="147"/>
      <c r="G167" s="1"/>
      <c r="I167" s="1"/>
      <c r="J167" s="14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5.9" x14ac:dyDescent="0.45">
      <c r="A168" s="139"/>
      <c r="B168" s="1"/>
      <c r="C168" s="1"/>
      <c r="D168" s="147"/>
      <c r="E168" s="1"/>
      <c r="F168" s="147"/>
      <c r="G168" s="1"/>
      <c r="I168" s="1"/>
      <c r="J168" s="14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5.9" x14ac:dyDescent="0.45">
      <c r="A169" s="139"/>
      <c r="B169" s="1"/>
      <c r="C169" s="1"/>
      <c r="D169" s="151"/>
      <c r="E169" s="1"/>
      <c r="F169" s="151"/>
      <c r="G169" s="1"/>
      <c r="I169" s="1"/>
      <c r="J169" s="15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5.9" x14ac:dyDescent="0.45">
      <c r="A170" s="148"/>
      <c r="B170" s="1"/>
      <c r="C170" s="1"/>
      <c r="D170" s="4"/>
      <c r="E170" s="1"/>
      <c r="F170" s="4"/>
      <c r="G170" s="1"/>
      <c r="I170" s="1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5.45" x14ac:dyDescent="0.4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5.9" x14ac:dyDescent="0.45">
      <c r="A172" s="3"/>
      <c r="B172" s="1"/>
      <c r="C172" s="1"/>
      <c r="D172" s="4"/>
      <c r="E172" s="1"/>
      <c r="F172" s="4"/>
      <c r="G172" s="1"/>
      <c r="I172" s="1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5.9" x14ac:dyDescent="0.45">
      <c r="A173" s="3"/>
      <c r="B173" s="1"/>
      <c r="C173" s="1"/>
      <c r="D173" s="4"/>
      <c r="E173" s="1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9.75" x14ac:dyDescent="0.45">
      <c r="A174" s="152"/>
      <c r="B174" s="1"/>
      <c r="C174" s="1"/>
      <c r="D174" s="5"/>
      <c r="E174" s="1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5.9" x14ac:dyDescent="0.45">
      <c r="A175" s="1"/>
      <c r="B175" s="1"/>
      <c r="C175" s="1"/>
      <c r="D175" s="153"/>
      <c r="E175" s="1"/>
      <c r="F175" s="153"/>
      <c r="G175" s="1"/>
      <c r="H175" s="15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5.9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5.9" x14ac:dyDescent="0.45">
      <c r="A177" s="155"/>
      <c r="B177" s="1"/>
      <c r="C177" s="1"/>
      <c r="D177" s="144"/>
      <c r="E177" s="1"/>
      <c r="F177" s="156"/>
      <c r="G177" s="1"/>
      <c r="H177" s="15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5.9" x14ac:dyDescent="0.45">
      <c r="A178" s="155"/>
      <c r="B178" s="1"/>
      <c r="C178" s="1"/>
      <c r="D178" s="158"/>
      <c r="E178" s="1"/>
      <c r="F178" s="156"/>
      <c r="G178" s="1"/>
      <c r="H178" s="15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5.9" x14ac:dyDescent="0.45">
      <c r="A179" s="155"/>
      <c r="B179" s="1"/>
      <c r="C179" s="1"/>
      <c r="D179" s="159"/>
      <c r="E179" s="1"/>
      <c r="F179" s="156"/>
      <c r="G179" s="1"/>
      <c r="H179" s="15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5.9" x14ac:dyDescent="0.45">
      <c r="A180" s="160"/>
      <c r="B180" s="1"/>
      <c r="C180" s="1"/>
      <c r="D180" s="156"/>
      <c r="E180" s="1"/>
      <c r="F180" s="156"/>
      <c r="G180" s="1"/>
      <c r="H180" s="15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5.9" x14ac:dyDescent="0.45">
      <c r="A181" s="139"/>
      <c r="B181" s="1"/>
      <c r="C181" s="1"/>
      <c r="D181" s="7"/>
      <c r="E181" s="1"/>
      <c r="F181" s="7"/>
      <c r="G181" s="1"/>
      <c r="H181" s="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5.9" x14ac:dyDescent="0.45">
      <c r="A182" s="139"/>
      <c r="B182" s="1"/>
      <c r="C182" s="1"/>
      <c r="D182" s="7"/>
      <c r="E182" s="1"/>
      <c r="F182" s="7"/>
      <c r="G182" s="1"/>
      <c r="H182" s="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5.9" x14ac:dyDescent="0.45">
      <c r="A183" s="139"/>
      <c r="B183" s="1"/>
      <c r="C183" s="1"/>
      <c r="D183" s="7"/>
      <c r="E183" s="1"/>
      <c r="F183" s="7"/>
      <c r="G183" s="1"/>
      <c r="H183" s="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5.9" x14ac:dyDescent="0.45">
      <c r="A184" s="139"/>
      <c r="B184" s="1"/>
      <c r="C184" s="1"/>
      <c r="D184" s="7"/>
      <c r="E184" s="1"/>
      <c r="F184" s="7"/>
      <c r="G184" s="1"/>
      <c r="H184" s="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5.9" x14ac:dyDescent="0.45">
      <c r="A185" s="139"/>
      <c r="B185" s="1"/>
      <c r="C185" s="1"/>
      <c r="D185" s="7"/>
      <c r="E185" s="1"/>
      <c r="F185" s="7"/>
      <c r="G185" s="1"/>
      <c r="H185" s="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5.9" x14ac:dyDescent="0.45">
      <c r="A186" s="139"/>
      <c r="B186" s="1"/>
      <c r="C186" s="1"/>
      <c r="D186" s="7"/>
      <c r="E186" s="1"/>
      <c r="F186" s="7"/>
      <c r="G186" s="1"/>
      <c r="H186" s="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5.9" x14ac:dyDescent="0.45">
      <c r="A187" s="139"/>
      <c r="B187" s="1"/>
      <c r="C187" s="1"/>
      <c r="D187" s="7"/>
      <c r="E187" s="1"/>
      <c r="F187" s="7"/>
      <c r="G187" s="1"/>
      <c r="H187" s="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5.9" x14ac:dyDescent="0.45">
      <c r="A188" s="3"/>
      <c r="B188" s="1"/>
      <c r="C188" s="1"/>
      <c r="D188" s="156"/>
      <c r="E188" s="1"/>
      <c r="F188" s="156"/>
      <c r="G188" s="1"/>
      <c r="H188" s="15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5.9" x14ac:dyDescent="0.45">
      <c r="A189" s="1"/>
      <c r="B189" s="1"/>
      <c r="C189" s="1"/>
      <c r="D189" s="156"/>
      <c r="E189" s="1"/>
      <c r="F189" s="156"/>
      <c r="G189" s="1"/>
      <c r="H189" s="14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5.9" x14ac:dyDescent="0.45">
      <c r="A190" s="1"/>
      <c r="B190" s="1"/>
      <c r="C190" s="1"/>
      <c r="D190" s="156"/>
      <c r="E190" s="1"/>
      <c r="F190" s="156"/>
      <c r="G190" s="1"/>
      <c r="H190" s="14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5.9" x14ac:dyDescent="0.45">
      <c r="A191" s="1"/>
      <c r="B191" s="1"/>
      <c r="C191" s="1"/>
      <c r="D191" s="156"/>
      <c r="E191" s="1"/>
      <c r="F191" s="156"/>
      <c r="G191" s="1"/>
      <c r="H191" s="14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5.9" x14ac:dyDescent="0.45">
      <c r="A192" s="1"/>
      <c r="B192" s="1"/>
      <c r="C192" s="1"/>
      <c r="D192" s="161"/>
      <c r="E192" s="1"/>
      <c r="F192" s="16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5.9" x14ac:dyDescent="0.45">
      <c r="A193" s="1"/>
      <c r="B193" s="1"/>
      <c r="C193" s="1"/>
      <c r="D193" s="153"/>
      <c r="E193" s="1"/>
      <c r="F193" s="153"/>
      <c r="G193" s="1"/>
      <c r="H193" s="15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5.9" x14ac:dyDescent="0.45">
      <c r="A194" s="3"/>
      <c r="B194" s="1"/>
      <c r="C194" s="1"/>
      <c r="D194" s="226"/>
      <c r="E194" s="22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5.9" x14ac:dyDescent="0.45">
      <c r="A195" s="1"/>
      <c r="B195" s="1"/>
      <c r="C195" s="1"/>
      <c r="D195" s="157"/>
      <c r="E195" s="1"/>
      <c r="F195" s="157"/>
      <c r="G195" s="1"/>
      <c r="H195" s="14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5.9" x14ac:dyDescent="0.45">
      <c r="A196" s="1"/>
      <c r="B196" s="1"/>
      <c r="C196" s="1"/>
      <c r="D196" s="157"/>
      <c r="E196" s="1"/>
      <c r="F196" s="157"/>
      <c r="G196" s="1"/>
      <c r="H196" s="14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5.9" x14ac:dyDescent="0.45">
      <c r="A197" s="1"/>
      <c r="B197" s="1"/>
      <c r="C197" s="1"/>
      <c r="D197" s="157"/>
      <c r="E197" s="1"/>
      <c r="F197" s="157"/>
      <c r="G197" s="1"/>
      <c r="H197" s="14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5.9" x14ac:dyDescent="0.45">
      <c r="A198" s="1"/>
      <c r="B198" s="1"/>
      <c r="C198" s="1"/>
      <c r="D198" s="157"/>
      <c r="E198" s="1"/>
      <c r="F198" s="157"/>
      <c r="G198" s="1"/>
      <c r="H198" s="14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5.9" x14ac:dyDescent="0.45">
      <c r="A199" s="1"/>
      <c r="B199" s="1"/>
      <c r="C199" s="1"/>
      <c r="D199" s="157"/>
      <c r="E199" s="1"/>
      <c r="F199" s="157"/>
      <c r="G199" s="1"/>
      <c r="H199" s="14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5.9" x14ac:dyDescent="0.45">
      <c r="A200" s="1"/>
      <c r="B200" s="1"/>
      <c r="C200" s="1"/>
      <c r="D200" s="157"/>
      <c r="E200" s="1"/>
      <c r="F200" s="157"/>
      <c r="G200" s="1"/>
      <c r="H200" s="14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5.9" x14ac:dyDescent="0.45">
      <c r="A201" s="1"/>
      <c r="B201" s="1"/>
      <c r="C201" s="1"/>
      <c r="D201" s="157"/>
      <c r="E201" s="1"/>
      <c r="F201" s="157"/>
      <c r="G201" s="1"/>
      <c r="H201" s="14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5.9" x14ac:dyDescent="0.45">
      <c r="A202" s="1"/>
      <c r="B202" s="1"/>
      <c r="C202" s="1"/>
      <c r="D202" s="157"/>
      <c r="E202" s="1"/>
      <c r="F202" s="157"/>
      <c r="G202" s="1"/>
      <c r="H202" s="14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5.4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5.4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5.4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5.4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5.4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5.4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5.4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5.4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5.4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5.4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5.4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5.4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5.4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5.4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5.4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5.4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5.4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5.4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5.4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5.4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5.4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5.4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5.4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5.4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5.4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5.4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5.4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4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5.4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5.4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5.4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5.4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5.4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5.4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ht="15.4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ht="15.4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ht="15.4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ht="15.4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ht="15.4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ht="15.4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ht="15.4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ht="15.4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ht="15.4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</sheetData>
  <mergeCells count="4">
    <mergeCell ref="D51:E51"/>
    <mergeCell ref="D139:E139"/>
    <mergeCell ref="D194:E194"/>
    <mergeCell ref="D28:H28"/>
  </mergeCells>
  <phoneticPr fontId="8" type="noConversion"/>
  <hyperlinks>
    <hyperlink ref="G88" r:id="rId1" display="https://www.nass.usda.gov/Surveys/Guide_to_NASS_Surveys/Cash_Rents_by_County/" xr:uid="{BBC63780-2BA2-4EF3-91B8-6D47A4C63FA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DBD5-6B7D-49E0-895B-CE80B646CF54}">
  <dimension ref="A2:Y94"/>
  <sheetViews>
    <sheetView workbookViewId="0">
      <selection activeCell="B96" sqref="B96"/>
    </sheetView>
  </sheetViews>
  <sheetFormatPr defaultRowHeight="14.15" x14ac:dyDescent="0.35"/>
  <cols>
    <col min="3" max="3" width="23.15234375" customWidth="1"/>
    <col min="4" max="4" width="14.15234375" customWidth="1"/>
    <col min="5" max="5" width="5.4609375" customWidth="1"/>
    <col min="6" max="6" width="10.07421875" customWidth="1"/>
    <col min="7" max="7" width="9.15234375" customWidth="1"/>
    <col min="8" max="8" width="9.3828125" bestFit="1" customWidth="1"/>
    <col min="10" max="10" width="11.3828125" customWidth="1"/>
    <col min="13" max="13" width="5.23046875" customWidth="1"/>
    <col min="24" max="24" width="10.4609375" bestFit="1" customWidth="1"/>
  </cols>
  <sheetData>
    <row r="2" spans="1:13" ht="25.3" x14ac:dyDescent="0.6">
      <c r="A2" s="2" t="s">
        <v>96</v>
      </c>
      <c r="G2" t="s">
        <v>74</v>
      </c>
    </row>
    <row r="3" spans="1:13" x14ac:dyDescent="0.35">
      <c r="D3" s="54" t="s">
        <v>14</v>
      </c>
      <c r="E3" s="54"/>
      <c r="F3" s="54" t="s">
        <v>15</v>
      </c>
      <c r="G3" s="54"/>
      <c r="H3" s="54"/>
      <c r="I3" s="54"/>
      <c r="J3" s="54"/>
    </row>
    <row r="4" spans="1:13" ht="15.45" x14ac:dyDescent="0.4">
      <c r="A4" s="12" t="s">
        <v>0</v>
      </c>
      <c r="B4" s="13"/>
      <c r="C4" s="13"/>
      <c r="D4" s="53" t="s">
        <v>21</v>
      </c>
      <c r="E4" s="41"/>
      <c r="F4" s="123" t="s">
        <v>13</v>
      </c>
      <c r="G4" s="41"/>
      <c r="H4" s="117"/>
      <c r="I4" s="41"/>
    </row>
    <row r="5" spans="1:13" ht="15.45" x14ac:dyDescent="0.4">
      <c r="A5" s="14" t="s">
        <v>139</v>
      </c>
      <c r="B5" s="13"/>
      <c r="C5" s="13"/>
      <c r="D5" s="15"/>
      <c r="E5" s="13"/>
      <c r="F5" s="124"/>
      <c r="G5" s="13"/>
      <c r="H5" s="13"/>
      <c r="I5" s="13"/>
      <c r="J5" s="13"/>
      <c r="K5" s="1"/>
      <c r="L5" s="1"/>
      <c r="M5" s="1"/>
    </row>
    <row r="6" spans="1:13" ht="15.45" x14ac:dyDescent="0.4">
      <c r="A6" s="16" t="s">
        <v>110</v>
      </c>
      <c r="B6" s="13"/>
      <c r="C6" s="13"/>
      <c r="D6" s="131">
        <f>J31</f>
        <v>1800</v>
      </c>
      <c r="E6" s="30"/>
      <c r="F6" s="125">
        <f>F31</f>
        <v>0</v>
      </c>
      <c r="G6" s="30"/>
      <c r="H6" s="118"/>
      <c r="I6" s="30"/>
      <c r="J6" s="118"/>
      <c r="K6" s="1"/>
      <c r="L6" s="1"/>
      <c r="M6" s="1"/>
    </row>
    <row r="7" spans="1:13" ht="15.45" x14ac:dyDescent="0.4">
      <c r="A7" s="16" t="s">
        <v>112</v>
      </c>
      <c r="B7" s="13"/>
      <c r="C7" s="13"/>
      <c r="D7" s="168">
        <f>L31</f>
        <v>0.1</v>
      </c>
      <c r="E7" s="30"/>
      <c r="F7" s="168">
        <f>L31</f>
        <v>0.1</v>
      </c>
      <c r="G7" s="30"/>
      <c r="H7" s="118"/>
      <c r="I7" s="30"/>
      <c r="J7" s="118"/>
      <c r="K7" s="1"/>
      <c r="L7" s="1"/>
      <c r="M7" s="1"/>
    </row>
    <row r="8" spans="1:13" ht="15.45" x14ac:dyDescent="0.4">
      <c r="A8" s="16" t="s">
        <v>111</v>
      </c>
      <c r="B8" s="13"/>
      <c r="C8" s="13"/>
      <c r="D8" s="131">
        <f>J32</f>
        <v>0.9</v>
      </c>
      <c r="E8" s="30"/>
      <c r="F8" s="17">
        <f>F32</f>
        <v>0</v>
      </c>
      <c r="G8" s="30"/>
      <c r="H8" s="118"/>
      <c r="I8" s="30"/>
      <c r="J8" s="118"/>
      <c r="K8" s="1"/>
      <c r="L8" s="1"/>
      <c r="M8" s="1"/>
    </row>
    <row r="9" spans="1:13" ht="15.45" x14ac:dyDescent="0.4">
      <c r="A9" s="16" t="s">
        <v>114</v>
      </c>
      <c r="B9" s="13"/>
      <c r="C9" s="13"/>
      <c r="D9" s="17">
        <f>L32</f>
        <v>100</v>
      </c>
      <c r="E9" s="30"/>
      <c r="F9" s="17">
        <f>L32</f>
        <v>100</v>
      </c>
      <c r="G9" s="30"/>
      <c r="H9" s="118"/>
      <c r="I9" s="30"/>
      <c r="J9" s="118"/>
      <c r="K9" s="1"/>
      <c r="L9" s="1"/>
      <c r="M9" s="1"/>
    </row>
    <row r="10" spans="1:13" ht="15.45" x14ac:dyDescent="0.4">
      <c r="A10" s="20" t="s">
        <v>3</v>
      </c>
      <c r="B10" s="13"/>
      <c r="C10" s="13"/>
      <c r="D10" s="21">
        <f>(D31+D32)</f>
        <v>270</v>
      </c>
      <c r="E10" s="21"/>
      <c r="F10" s="21">
        <f>(F31+F32)</f>
        <v>0</v>
      </c>
      <c r="G10" s="119"/>
      <c r="H10" s="119"/>
      <c r="I10" s="119"/>
      <c r="J10" s="119"/>
      <c r="K10" s="1"/>
      <c r="L10" s="1"/>
      <c r="M10" s="1"/>
    </row>
    <row r="11" spans="1:13" ht="15.45" x14ac:dyDescent="0.4">
      <c r="A11" s="14" t="s">
        <v>138</v>
      </c>
      <c r="B11" s="13"/>
      <c r="C11" s="13"/>
      <c r="D11" s="38"/>
      <c r="E11" s="133"/>
      <c r="F11" s="38"/>
      <c r="G11" s="13"/>
      <c r="H11" s="13"/>
      <c r="I11" s="13"/>
      <c r="J11" s="13"/>
      <c r="K11" s="1"/>
      <c r="L11" s="1"/>
      <c r="M11" s="1"/>
    </row>
    <row r="12" spans="1:13" ht="15.45" x14ac:dyDescent="0.4">
      <c r="A12" s="16" t="s">
        <v>5</v>
      </c>
      <c r="B12" s="13"/>
      <c r="C12" s="13"/>
      <c r="D12" s="71">
        <f>D35</f>
        <v>36</v>
      </c>
      <c r="E12" s="72"/>
      <c r="F12" s="132">
        <f>F35</f>
        <v>0</v>
      </c>
      <c r="G12" s="77"/>
      <c r="H12" s="120"/>
      <c r="I12" s="78"/>
      <c r="J12" s="120"/>
      <c r="K12" s="1"/>
      <c r="L12" s="1"/>
      <c r="M12" s="1"/>
    </row>
    <row r="13" spans="1:13" ht="15.45" x14ac:dyDescent="0.4">
      <c r="A13" s="16" t="s">
        <v>6</v>
      </c>
      <c r="B13" s="13"/>
      <c r="C13" s="13"/>
      <c r="D13" s="73">
        <f>D42</f>
        <v>22.51</v>
      </c>
      <c r="E13" s="72"/>
      <c r="F13" s="126">
        <f>F42</f>
        <v>0</v>
      </c>
      <c r="G13" s="77"/>
      <c r="H13" s="120"/>
      <c r="I13" s="78"/>
      <c r="J13" s="120"/>
      <c r="K13" s="1"/>
      <c r="L13" s="1"/>
      <c r="M13" s="1"/>
    </row>
    <row r="14" spans="1:13" ht="15.45" x14ac:dyDescent="0.4">
      <c r="A14" s="16" t="s">
        <v>7</v>
      </c>
      <c r="B14" s="13"/>
      <c r="C14" s="13"/>
      <c r="D14" s="73">
        <f>D48</f>
        <v>58.45</v>
      </c>
      <c r="E14" s="72"/>
      <c r="F14" s="126">
        <f>F48</f>
        <v>9.3000000000000007</v>
      </c>
      <c r="G14" s="77"/>
      <c r="H14" s="120"/>
      <c r="I14" s="78"/>
      <c r="J14" s="120"/>
      <c r="K14" s="1"/>
      <c r="L14" s="1"/>
      <c r="M14" s="1"/>
    </row>
    <row r="15" spans="1:13" ht="15.45" x14ac:dyDescent="0.4">
      <c r="A15" s="23" t="s">
        <v>43</v>
      </c>
      <c r="B15" s="13"/>
      <c r="C15" s="13"/>
      <c r="D15" s="73">
        <f>D60</f>
        <v>133</v>
      </c>
      <c r="E15" s="72"/>
      <c r="F15" s="126">
        <f>F60</f>
        <v>45.24</v>
      </c>
      <c r="G15" s="77"/>
      <c r="H15" s="120"/>
      <c r="I15" s="78"/>
      <c r="J15" s="120"/>
      <c r="K15" s="1"/>
      <c r="L15" s="1"/>
      <c r="M15" s="1"/>
    </row>
    <row r="16" spans="1:13" ht="15.45" x14ac:dyDescent="0.4">
      <c r="A16" s="23" t="s">
        <v>115</v>
      </c>
      <c r="B16" s="13"/>
      <c r="C16" s="13"/>
      <c r="D16" s="73">
        <f>D67</f>
        <v>5.508</v>
      </c>
      <c r="E16" s="72"/>
      <c r="F16" s="126">
        <f>F67</f>
        <v>0</v>
      </c>
      <c r="G16" s="77"/>
      <c r="H16" s="120"/>
      <c r="I16" s="78"/>
      <c r="J16" s="120"/>
      <c r="K16" s="1"/>
      <c r="L16" s="1"/>
      <c r="M16" s="1"/>
    </row>
    <row r="17" spans="1:22" ht="15.45" x14ac:dyDescent="0.4">
      <c r="A17" s="16" t="s">
        <v>130</v>
      </c>
      <c r="B17" s="13"/>
      <c r="C17" s="13"/>
      <c r="D17" s="193"/>
      <c r="E17" s="72"/>
      <c r="F17" s="193"/>
      <c r="G17" s="77"/>
      <c r="H17" s="120"/>
      <c r="I17" s="78"/>
    </row>
    <row r="18" spans="1:22" ht="15.45" x14ac:dyDescent="0.4">
      <c r="A18" s="16" t="s">
        <v>131</v>
      </c>
      <c r="B18" s="13"/>
      <c r="C18" s="13"/>
      <c r="D18" s="191">
        <f>D75</f>
        <v>39.975000000000001</v>
      </c>
      <c r="E18" s="72"/>
      <c r="F18" s="192">
        <f>F75</f>
        <v>39.975000000000001</v>
      </c>
      <c r="H18" s="1"/>
      <c r="I18" s="78"/>
      <c r="J18" s="121"/>
      <c r="K18" s="1"/>
      <c r="L18" s="1"/>
      <c r="M18" s="1"/>
    </row>
    <row r="19" spans="1:22" ht="15.9" thickBot="1" x14ac:dyDescent="0.45">
      <c r="A19" s="194" t="s">
        <v>132</v>
      </c>
      <c r="B19" s="25"/>
      <c r="C19" s="25"/>
      <c r="D19" s="206">
        <f>D79</f>
        <v>12.025</v>
      </c>
      <c r="E19" s="207"/>
      <c r="F19" s="206">
        <f>F79</f>
        <v>12.025</v>
      </c>
      <c r="H19" s="1"/>
      <c r="I19" s="78"/>
      <c r="J19" s="121"/>
      <c r="K19" s="1"/>
      <c r="L19" s="1"/>
      <c r="M19" s="1"/>
    </row>
    <row r="20" spans="1:22" ht="15.9" thickTop="1" x14ac:dyDescent="0.4">
      <c r="A20" s="20" t="s">
        <v>133</v>
      </c>
      <c r="B20" s="13"/>
      <c r="C20" s="13"/>
      <c r="D20" s="198">
        <f>SUM(D12:D16)+D18</f>
        <v>295.44300000000004</v>
      </c>
      <c r="E20" s="198"/>
      <c r="F20" s="198">
        <f t="shared" ref="F20" si="0">SUM(F12:F16)+F18</f>
        <v>94.515000000000015</v>
      </c>
      <c r="G20" s="115"/>
      <c r="H20" s="1"/>
      <c r="I20" s="122"/>
      <c r="J20" s="122"/>
      <c r="K20" s="1"/>
      <c r="L20" s="1"/>
      <c r="M20" s="1"/>
    </row>
    <row r="21" spans="1:22" ht="15.45" x14ac:dyDescent="0.4">
      <c r="A21" s="14" t="s">
        <v>134</v>
      </c>
      <c r="B21" s="13"/>
      <c r="C21" s="13"/>
      <c r="D21" s="197">
        <f>SUM(D12:D16)+D19</f>
        <v>267.49299999999999</v>
      </c>
      <c r="E21" s="196"/>
      <c r="F21" s="197">
        <f>SUM(F12:F16)+F19</f>
        <v>66.565000000000012</v>
      </c>
      <c r="H21" s="77"/>
      <c r="I21" s="78"/>
      <c r="J21" s="78"/>
      <c r="K21" s="1"/>
    </row>
    <row r="23" spans="1:22" ht="15" x14ac:dyDescent="0.35">
      <c r="A23" s="195" t="s">
        <v>136</v>
      </c>
      <c r="G23" s="90"/>
    </row>
    <row r="24" spans="1:22" ht="15.45" x14ac:dyDescent="0.4">
      <c r="A24" s="199" t="s">
        <v>137</v>
      </c>
      <c r="B24" s="200"/>
      <c r="C24" s="200"/>
      <c r="D24" s="201">
        <f>D10-D20</f>
        <v>-25.44300000000004</v>
      </c>
      <c r="E24" s="201"/>
      <c r="F24" s="202">
        <f>F10-F20</f>
        <v>-94.515000000000015</v>
      </c>
      <c r="G24" s="115"/>
      <c r="H24" s="122"/>
      <c r="I24" s="122"/>
      <c r="J24" s="122"/>
      <c r="K24" s="1"/>
    </row>
    <row r="25" spans="1:22" ht="15.9" thickBot="1" x14ac:dyDescent="0.45">
      <c r="A25" s="203" t="s">
        <v>135</v>
      </c>
      <c r="B25" s="204"/>
      <c r="C25" s="204"/>
      <c r="D25" s="205">
        <f>D10-D21</f>
        <v>2.507000000000005</v>
      </c>
      <c r="E25" s="205"/>
      <c r="F25" s="205">
        <f>F10-F21</f>
        <v>-66.565000000000012</v>
      </c>
      <c r="G25" s="115"/>
      <c r="H25" s="122"/>
      <c r="I25" s="122"/>
      <c r="J25" s="122"/>
      <c r="K25" s="1"/>
      <c r="U25" t="s">
        <v>106</v>
      </c>
    </row>
    <row r="26" spans="1:22" ht="15.9" thickTop="1" x14ac:dyDescent="0.4">
      <c r="A26" s="26"/>
      <c r="B26" s="27"/>
      <c r="C26" s="27"/>
      <c r="D26" s="184"/>
      <c r="E26" s="184"/>
      <c r="F26" s="184"/>
      <c r="G26" s="115"/>
      <c r="H26" s="122"/>
      <c r="I26" s="122"/>
      <c r="J26" s="122"/>
      <c r="K26" s="1"/>
      <c r="U26">
        <v>2022</v>
      </c>
      <c r="V26">
        <v>17</v>
      </c>
    </row>
    <row r="27" spans="1:22" ht="15.9" x14ac:dyDescent="0.45">
      <c r="A27" s="3"/>
      <c r="B27" s="1"/>
      <c r="C27" s="1"/>
      <c r="D27" s="4"/>
      <c r="E27" s="1"/>
      <c r="F27" s="4"/>
      <c r="G27" s="1"/>
      <c r="H27" s="1"/>
      <c r="I27" s="1"/>
      <c r="J27" s="1"/>
      <c r="K27" s="1"/>
      <c r="L27" s="1"/>
      <c r="M27" s="1"/>
      <c r="U27">
        <v>2021</v>
      </c>
      <c r="V27">
        <v>32</v>
      </c>
    </row>
    <row r="28" spans="1:22" ht="20.149999999999999" thickBot="1" x14ac:dyDescent="0.5">
      <c r="A28" s="55" t="s">
        <v>95</v>
      </c>
      <c r="B28" s="1"/>
      <c r="C28" s="1"/>
      <c r="D28" s="227" t="s">
        <v>75</v>
      </c>
      <c r="E28" s="227"/>
      <c r="F28" s="227"/>
      <c r="G28" s="1"/>
      <c r="H28" s="1"/>
      <c r="I28" s="1"/>
      <c r="J28" s="90" t="s">
        <v>12</v>
      </c>
      <c r="K28" s="1"/>
      <c r="L28" s="90" t="s">
        <v>107</v>
      </c>
      <c r="M28" s="1"/>
      <c r="U28">
        <v>2020</v>
      </c>
      <c r="V28">
        <v>26</v>
      </c>
    </row>
    <row r="29" spans="1:22" ht="15.45" x14ac:dyDescent="0.4">
      <c r="A29" s="50" t="s">
        <v>0</v>
      </c>
      <c r="B29" s="1"/>
      <c r="C29" s="1"/>
      <c r="D29" s="40" t="s">
        <v>21</v>
      </c>
      <c r="E29" s="41"/>
      <c r="F29" s="40" t="s">
        <v>13</v>
      </c>
      <c r="G29" s="13"/>
      <c r="H29" s="42" t="s">
        <v>31</v>
      </c>
      <c r="J29" s="166" t="s">
        <v>108</v>
      </c>
      <c r="K29" s="91"/>
      <c r="L29" s="166" t="str">
        <f>Kernza!N29</f>
        <v>Price</v>
      </c>
      <c r="M29" s="91"/>
      <c r="U29">
        <v>2019</v>
      </c>
      <c r="V29">
        <v>43</v>
      </c>
    </row>
    <row r="30" spans="1:22" ht="15" x14ac:dyDescent="0.35">
      <c r="A30" s="47" t="s">
        <v>28</v>
      </c>
      <c r="D30" s="80"/>
      <c r="E30" s="43"/>
      <c r="F30" s="80"/>
      <c r="G30" s="43"/>
      <c r="H30" s="37"/>
      <c r="J30" s="91"/>
      <c r="K30" s="91"/>
      <c r="L30" s="91"/>
      <c r="M30" s="91"/>
      <c r="U30">
        <v>2018</v>
      </c>
      <c r="V30">
        <v>34</v>
      </c>
    </row>
    <row r="31" spans="1:22" ht="15.45" x14ac:dyDescent="0.4">
      <c r="A31" s="48" t="s">
        <v>112</v>
      </c>
      <c r="B31" s="1"/>
      <c r="C31" s="1"/>
      <c r="D31" s="33">
        <f>H31</f>
        <v>180</v>
      </c>
      <c r="E31" s="18"/>
      <c r="F31" s="80"/>
      <c r="G31" s="18"/>
      <c r="H31" s="39">
        <f>J31*L31</f>
        <v>180</v>
      </c>
      <c r="J31" s="162">
        <v>1800</v>
      </c>
      <c r="K31" s="127" t="str">
        <f>Kernza!M32</f>
        <v>lbs</v>
      </c>
      <c r="L31" s="134">
        <v>0.1</v>
      </c>
      <c r="M31" s="128" t="str">
        <f>Kernza!O32</f>
        <v>lb</v>
      </c>
      <c r="N31" t="s">
        <v>100</v>
      </c>
      <c r="U31" s="165">
        <v>2017</v>
      </c>
      <c r="V31" s="165">
        <v>28</v>
      </c>
    </row>
    <row r="32" spans="1:22" ht="15.9" thickBot="1" x14ac:dyDescent="0.45">
      <c r="A32" s="57" t="s">
        <v>109</v>
      </c>
      <c r="B32" s="58"/>
      <c r="C32" s="58"/>
      <c r="D32" s="167">
        <f>J32*L32</f>
        <v>90</v>
      </c>
      <c r="E32" s="28"/>
      <c r="F32" s="82"/>
      <c r="G32" s="28"/>
      <c r="H32" s="69">
        <f>J32*L32</f>
        <v>90</v>
      </c>
      <c r="J32" s="169">
        <f>J31/2000</f>
        <v>0.9</v>
      </c>
      <c r="K32" s="129" t="str">
        <f>Kernza!M33</f>
        <v>tons</v>
      </c>
      <c r="L32" s="77">
        <f>Kernza!N33</f>
        <v>100</v>
      </c>
      <c r="M32" s="130" t="str">
        <f>Kernza!O33</f>
        <v>ton</v>
      </c>
      <c r="N32" t="s">
        <v>101</v>
      </c>
      <c r="U32" t="s">
        <v>104</v>
      </c>
      <c r="V32">
        <f>AVERAGE(V26:V31)</f>
        <v>30</v>
      </c>
    </row>
    <row r="33" spans="1:24" ht="15.45" x14ac:dyDescent="0.4">
      <c r="A33" s="11"/>
      <c r="B33" s="1"/>
      <c r="C33" s="1"/>
      <c r="D33" s="83"/>
      <c r="E33" s="18"/>
      <c r="F33" s="83"/>
      <c r="G33" s="18"/>
      <c r="H33" s="68"/>
      <c r="J33" s="163"/>
      <c r="K33" s="129"/>
      <c r="L33" s="77"/>
      <c r="M33" s="130"/>
      <c r="U33" t="s">
        <v>105</v>
      </c>
    </row>
    <row r="34" spans="1:24" ht="15.45" x14ac:dyDescent="0.4">
      <c r="A34" s="51" t="s">
        <v>53</v>
      </c>
      <c r="B34" s="1"/>
      <c r="C34" s="1"/>
      <c r="D34" s="85"/>
      <c r="E34" s="18"/>
      <c r="F34" s="85"/>
      <c r="G34" s="18"/>
      <c r="H34" s="38"/>
      <c r="J34" s="163"/>
      <c r="K34" s="129"/>
      <c r="L34" s="77"/>
      <c r="M34" s="130"/>
      <c r="T34" s="164">
        <v>60</v>
      </c>
      <c r="U34" s="1" t="s">
        <v>103</v>
      </c>
      <c r="V34" s="183">
        <f>V32</f>
        <v>30</v>
      </c>
      <c r="W34" s="1" t="s">
        <v>47</v>
      </c>
      <c r="X34" s="1">
        <f>V34*T34</f>
        <v>1800</v>
      </c>
    </row>
    <row r="35" spans="1:24" ht="15.9" thickBot="1" x14ac:dyDescent="0.45">
      <c r="A35" s="66" t="s">
        <v>113</v>
      </c>
      <c r="B35" s="58"/>
      <c r="C35" s="58"/>
      <c r="D35" s="174">
        <f>H35</f>
        <v>36</v>
      </c>
      <c r="E35" s="28"/>
      <c r="F35" s="175">
        <v>0</v>
      </c>
      <c r="G35" s="28"/>
      <c r="H35" s="67">
        <f>J35*L35</f>
        <v>36</v>
      </c>
      <c r="J35" s="163">
        <v>80</v>
      </c>
      <c r="K35" s="129" t="s">
        <v>77</v>
      </c>
      <c r="L35" s="77">
        <v>0.45</v>
      </c>
      <c r="M35" s="130" t="str">
        <f>Kernza!O36</f>
        <v>lb</v>
      </c>
      <c r="N35" t="s">
        <v>89</v>
      </c>
    </row>
    <row r="36" spans="1:24" ht="15.45" x14ac:dyDescent="0.4">
      <c r="A36" s="64"/>
      <c r="B36" s="1"/>
      <c r="C36" s="1"/>
      <c r="D36" s="60"/>
      <c r="E36" s="18"/>
      <c r="F36" s="87"/>
      <c r="G36" s="18"/>
      <c r="H36" s="65"/>
      <c r="J36" s="163"/>
      <c r="K36" s="129"/>
      <c r="L36" s="77"/>
      <c r="M36" s="130"/>
    </row>
    <row r="37" spans="1:24" ht="17.600000000000001" x14ac:dyDescent="0.4">
      <c r="A37" s="52" t="s">
        <v>71</v>
      </c>
      <c r="B37" s="1"/>
      <c r="C37" s="1"/>
      <c r="D37" s="39"/>
      <c r="E37" s="18"/>
      <c r="F37" s="39"/>
      <c r="G37" s="18"/>
      <c r="H37" s="35"/>
      <c r="J37" s="163"/>
      <c r="K37" s="129"/>
      <c r="L37" s="77"/>
      <c r="M37" s="130"/>
    </row>
    <row r="38" spans="1:24" ht="15.45" x14ac:dyDescent="0.4">
      <c r="A38" s="49" t="s">
        <v>91</v>
      </c>
      <c r="B38" s="1"/>
      <c r="C38" s="1"/>
      <c r="D38" s="33">
        <f>H38</f>
        <v>6.65</v>
      </c>
      <c r="E38" s="18"/>
      <c r="F38" s="33"/>
      <c r="G38" s="18"/>
      <c r="H38" s="33">
        <f>J38*L38</f>
        <v>6.65</v>
      </c>
      <c r="J38" s="163">
        <v>1.2500000000000001E-2</v>
      </c>
      <c r="K38" s="129" t="str">
        <f>Kernza!M39</f>
        <v>tons</v>
      </c>
      <c r="L38" s="77">
        <f>Kernza!N39</f>
        <v>532</v>
      </c>
      <c r="M38" s="130" t="str">
        <f>Kernza!O39</f>
        <v>ton</v>
      </c>
    </row>
    <row r="39" spans="1:24" ht="15.45" x14ac:dyDescent="0.4">
      <c r="A39" s="49" t="s">
        <v>92</v>
      </c>
      <c r="B39" s="1"/>
      <c r="C39" s="1"/>
      <c r="D39" s="33">
        <f>H39</f>
        <v>5.9250000000000007</v>
      </c>
      <c r="E39" s="18"/>
      <c r="F39" s="33"/>
      <c r="G39" s="18"/>
      <c r="H39" s="33">
        <f t="shared" ref="H39:H41" si="1">J39*L39</f>
        <v>5.9250000000000007</v>
      </c>
      <c r="J39" s="163">
        <f>Kernza!L40</f>
        <v>2.5000000000000001E-2</v>
      </c>
      <c r="K39" s="129" t="str">
        <f>Kernza!M40</f>
        <v>tons</v>
      </c>
      <c r="L39" s="77">
        <f>Kernza!N40</f>
        <v>237</v>
      </c>
      <c r="M39" s="130" t="str">
        <f>Kernza!O40</f>
        <v>ton</v>
      </c>
    </row>
    <row r="40" spans="1:24" ht="15.45" x14ac:dyDescent="0.4">
      <c r="A40" s="49" t="s">
        <v>10</v>
      </c>
      <c r="B40" s="1"/>
      <c r="C40" s="1"/>
      <c r="D40" s="33">
        <f t="shared" ref="D40:D41" si="2">H40</f>
        <v>3.9674999999999998</v>
      </c>
      <c r="E40" s="18"/>
      <c r="F40" s="33"/>
      <c r="G40" s="18"/>
      <c r="H40" s="33">
        <f t="shared" si="1"/>
        <v>3.9674999999999998</v>
      </c>
      <c r="J40" s="163">
        <f>Kernza!L41</f>
        <v>7.4999999999999997E-3</v>
      </c>
      <c r="K40" s="129" t="str">
        <f>Kernza!M41</f>
        <v>tons</v>
      </c>
      <c r="L40" s="77">
        <f>Kernza!N41</f>
        <v>529</v>
      </c>
      <c r="M40" s="130" t="str">
        <f>Kernza!O41</f>
        <v>ton</v>
      </c>
    </row>
    <row r="41" spans="1:24" ht="15.9" thickBot="1" x14ac:dyDescent="0.45">
      <c r="A41" s="61" t="s">
        <v>11</v>
      </c>
      <c r="B41" s="58"/>
      <c r="C41" s="58"/>
      <c r="D41" s="62">
        <f t="shared" si="2"/>
        <v>5.9675000000000002</v>
      </c>
      <c r="E41" s="28"/>
      <c r="F41" s="62"/>
      <c r="G41" s="28"/>
      <c r="H41" s="62">
        <f t="shared" si="1"/>
        <v>5.9675000000000002</v>
      </c>
      <c r="J41" s="163">
        <f>Kernza!L42</f>
        <v>1.7500000000000002E-2</v>
      </c>
      <c r="K41" s="129" t="str">
        <f>Kernza!M42</f>
        <v>tons</v>
      </c>
      <c r="L41" s="77">
        <f>Kernza!N42</f>
        <v>341</v>
      </c>
      <c r="M41" s="130" t="str">
        <f>Kernza!O42</f>
        <v>ton</v>
      </c>
    </row>
    <row r="42" spans="1:24" ht="15.45" x14ac:dyDescent="0.4">
      <c r="A42" s="94" t="s">
        <v>51</v>
      </c>
      <c r="B42" s="95"/>
      <c r="C42" s="95"/>
      <c r="D42" s="96">
        <f>SUM(D38:D41)</f>
        <v>22.51</v>
      </c>
      <c r="E42" s="93"/>
      <c r="F42" s="97">
        <f>SUM(F39:F41)</f>
        <v>0</v>
      </c>
      <c r="G42" s="18"/>
      <c r="H42" s="60"/>
      <c r="J42" s="163"/>
      <c r="K42" s="129"/>
      <c r="L42" s="77"/>
      <c r="M42" s="130"/>
    </row>
    <row r="43" spans="1:24" ht="15.45" x14ac:dyDescent="0.4">
      <c r="A43" s="49"/>
      <c r="B43" s="1"/>
      <c r="C43" s="1"/>
      <c r="D43" s="33"/>
      <c r="E43" s="18"/>
      <c r="F43" s="33"/>
      <c r="G43" s="18"/>
      <c r="H43" s="33"/>
      <c r="J43" s="163"/>
      <c r="K43" s="129"/>
      <c r="L43" s="77"/>
      <c r="M43" s="130"/>
    </row>
    <row r="44" spans="1:24" ht="17.600000000000001" x14ac:dyDescent="0.4">
      <c r="A44" s="51" t="s">
        <v>70</v>
      </c>
      <c r="B44" s="1"/>
      <c r="C44" s="1"/>
      <c r="D44" s="39"/>
      <c r="E44" s="18"/>
      <c r="F44" s="39"/>
      <c r="G44" s="18"/>
      <c r="H44" s="35"/>
      <c r="J44" s="163"/>
      <c r="K44" s="129"/>
      <c r="L44" s="77"/>
      <c r="M44" s="130"/>
    </row>
    <row r="45" spans="1:24" ht="15.45" x14ac:dyDescent="0.4">
      <c r="A45" s="6" t="s">
        <v>37</v>
      </c>
      <c r="B45" s="1"/>
      <c r="C45" s="1"/>
      <c r="D45" s="39">
        <f>H45</f>
        <v>38.400000000000006</v>
      </c>
      <c r="E45" s="18"/>
      <c r="F45" s="39"/>
      <c r="G45" s="18"/>
      <c r="H45" s="45">
        <f>J45*L45</f>
        <v>38.400000000000006</v>
      </c>
      <c r="J45" s="163">
        <f>Kernza!L46</f>
        <v>1.5</v>
      </c>
      <c r="K45" s="129" t="str">
        <f>Kernza!M46</f>
        <v>gal</v>
      </c>
      <c r="L45" s="77">
        <f>Kernza!N46</f>
        <v>25.6</v>
      </c>
      <c r="M45" s="130" t="str">
        <f>Kernza!O46</f>
        <v>gal</v>
      </c>
    </row>
    <row r="46" spans="1:24" ht="15.45" x14ac:dyDescent="0.4">
      <c r="A46" s="6" t="s">
        <v>38</v>
      </c>
      <c r="B46" s="1"/>
      <c r="C46" s="1"/>
      <c r="D46" s="39">
        <f t="shared" ref="D46:D47" si="3">H46</f>
        <v>10.75</v>
      </c>
      <c r="E46" s="18"/>
      <c r="F46" s="37"/>
      <c r="G46" s="18"/>
      <c r="H46" s="45">
        <f>J46*L46</f>
        <v>10.75</v>
      </c>
      <c r="J46" s="163">
        <f>Kernza!L47</f>
        <v>0.125</v>
      </c>
      <c r="K46" s="129" t="str">
        <f>Kernza!M47</f>
        <v>gal</v>
      </c>
      <c r="L46" s="77">
        <f>Kernza!N47</f>
        <v>86</v>
      </c>
      <c r="M46" s="130" t="str">
        <f>Kernza!O47</f>
        <v>gal</v>
      </c>
    </row>
    <row r="47" spans="1:24" ht="15.9" thickBot="1" x14ac:dyDescent="0.45">
      <c r="A47" s="57" t="s">
        <v>52</v>
      </c>
      <c r="B47" s="58"/>
      <c r="C47" s="58"/>
      <c r="D47" s="86">
        <f t="shared" si="3"/>
        <v>9.3000000000000007</v>
      </c>
      <c r="E47" s="28"/>
      <c r="F47" s="86">
        <f>H47</f>
        <v>9.3000000000000007</v>
      </c>
      <c r="G47" s="28"/>
      <c r="H47" s="46">
        <f>L47*J47</f>
        <v>9.3000000000000007</v>
      </c>
      <c r="J47" s="163">
        <f>Kernza!L48</f>
        <v>0.25</v>
      </c>
      <c r="K47" s="129" t="str">
        <f>Kernza!M48</f>
        <v>gal</v>
      </c>
      <c r="L47" s="77">
        <f>Kernza!N48</f>
        <v>37.200000000000003</v>
      </c>
      <c r="M47" s="130" t="str">
        <f>Kernza!O48</f>
        <v>gal</v>
      </c>
    </row>
    <row r="48" spans="1:24" ht="15.45" x14ac:dyDescent="0.4">
      <c r="A48" s="99" t="s">
        <v>49</v>
      </c>
      <c r="B48" s="95"/>
      <c r="C48" s="95"/>
      <c r="D48" s="97">
        <f>SUM(D45:D47)</f>
        <v>58.45</v>
      </c>
      <c r="E48" s="93"/>
      <c r="F48" s="97">
        <f>SUM(F45:F47)</f>
        <v>9.3000000000000007</v>
      </c>
      <c r="G48" s="18"/>
      <c r="H48" s="63"/>
      <c r="J48" s="163"/>
      <c r="K48" s="129"/>
      <c r="L48" s="77"/>
      <c r="M48" s="130"/>
    </row>
    <row r="49" spans="1:14" ht="15.45" x14ac:dyDescent="0.4">
      <c r="A49" s="6"/>
      <c r="B49" s="1"/>
      <c r="C49" s="1"/>
      <c r="D49" s="88"/>
      <c r="E49" s="18"/>
      <c r="F49" s="88"/>
      <c r="G49" s="18"/>
      <c r="H49" s="13"/>
      <c r="J49" s="163"/>
      <c r="K49" s="129"/>
      <c r="L49" s="77"/>
      <c r="M49" s="130"/>
    </row>
    <row r="50" spans="1:14" ht="17.600000000000001" x14ac:dyDescent="0.4">
      <c r="A50" s="51" t="s">
        <v>67</v>
      </c>
      <c r="B50" s="1"/>
      <c r="C50" s="1"/>
      <c r="D50" s="228"/>
      <c r="E50" s="228"/>
      <c r="F50" s="18"/>
      <c r="G50" s="18"/>
      <c r="H50" s="13"/>
      <c r="J50" s="163"/>
      <c r="K50" s="129"/>
      <c r="L50" s="77"/>
      <c r="M50" s="130"/>
    </row>
    <row r="51" spans="1:14" ht="15.45" x14ac:dyDescent="0.4">
      <c r="A51" s="6" t="s">
        <v>54</v>
      </c>
      <c r="B51" s="1"/>
      <c r="C51" s="1"/>
      <c r="D51" s="44">
        <f>H51</f>
        <v>17.670000000000002</v>
      </c>
      <c r="E51" s="18"/>
      <c r="F51" s="44"/>
      <c r="G51" s="18"/>
      <c r="H51" s="45">
        <f>J51*L51</f>
        <v>17.670000000000002</v>
      </c>
      <c r="J51" s="163">
        <f>Kernza!L52</f>
        <v>1</v>
      </c>
      <c r="K51" s="129" t="str">
        <f>Kernza!M52</f>
        <v>ac</v>
      </c>
      <c r="L51" s="77">
        <f>Kernza!N52</f>
        <v>17.670000000000002</v>
      </c>
      <c r="M51" s="130" t="str">
        <f>Kernza!O52</f>
        <v>ac</v>
      </c>
    </row>
    <row r="52" spans="1:14" ht="15.45" x14ac:dyDescent="0.4">
      <c r="A52" s="6" t="s">
        <v>55</v>
      </c>
      <c r="B52" s="1"/>
      <c r="C52" s="1"/>
      <c r="D52" s="44">
        <f>H52*3</f>
        <v>28.589999999999996</v>
      </c>
      <c r="E52" s="18"/>
      <c r="F52" s="44"/>
      <c r="G52" s="18"/>
      <c r="H52" s="45">
        <f t="shared" ref="H52:H59" si="4">J52*L52</f>
        <v>9.5299999999999994</v>
      </c>
      <c r="J52" s="163">
        <f>Kernza!L53</f>
        <v>1</v>
      </c>
      <c r="K52" s="129" t="str">
        <f>Kernza!M53</f>
        <v>ac</v>
      </c>
      <c r="L52" s="77">
        <f>Kernza!N53</f>
        <v>9.5299999999999994</v>
      </c>
      <c r="M52" s="130" t="str">
        <f>Kernza!O53</f>
        <v>ac</v>
      </c>
      <c r="N52" t="s">
        <v>93</v>
      </c>
    </row>
    <row r="53" spans="1:14" ht="15.45" x14ac:dyDescent="0.4">
      <c r="A53" s="6" t="s">
        <v>56</v>
      </c>
      <c r="B53" s="1"/>
      <c r="C53" s="1"/>
      <c r="D53" s="44">
        <f>H53*2</f>
        <v>30.16</v>
      </c>
      <c r="E53" s="18"/>
      <c r="F53" s="44">
        <f>H53*3</f>
        <v>45.24</v>
      </c>
      <c r="G53" s="18"/>
      <c r="H53" s="45">
        <f t="shared" si="4"/>
        <v>15.08</v>
      </c>
      <c r="J53" s="163">
        <f>Kernza!L54</f>
        <v>1</v>
      </c>
      <c r="K53" s="129" t="str">
        <f>Kernza!M54</f>
        <v>ac</v>
      </c>
      <c r="L53" s="77">
        <f>Kernza!N54</f>
        <v>15.08</v>
      </c>
      <c r="M53" s="130" t="str">
        <f>Kernza!O54</f>
        <v>ac</v>
      </c>
      <c r="N53" t="s">
        <v>94</v>
      </c>
    </row>
    <row r="54" spans="1:14" ht="15.45" x14ac:dyDescent="0.4">
      <c r="A54" s="6" t="s">
        <v>57</v>
      </c>
      <c r="B54" s="1"/>
      <c r="C54" s="1"/>
      <c r="D54" s="44">
        <f t="shared" ref="D54" si="5">H54</f>
        <v>21.67</v>
      </c>
      <c r="E54" s="18"/>
      <c r="F54" s="44"/>
      <c r="G54" s="18"/>
      <c r="H54" s="45">
        <f t="shared" si="4"/>
        <v>21.67</v>
      </c>
      <c r="J54" s="163">
        <f>Kernza!L55</f>
        <v>1</v>
      </c>
      <c r="K54" s="129" t="str">
        <f>Kernza!M55</f>
        <v>ac</v>
      </c>
      <c r="L54" s="77">
        <f>Kernza!N55</f>
        <v>21.67</v>
      </c>
      <c r="M54" s="130" t="str">
        <f>Kernza!O55</f>
        <v>ac</v>
      </c>
    </row>
    <row r="55" spans="1:14" ht="15.45" x14ac:dyDescent="0.4">
      <c r="A55" s="6" t="s">
        <v>58</v>
      </c>
      <c r="B55" s="1"/>
      <c r="C55" s="1"/>
      <c r="D55" s="44"/>
      <c r="E55" s="18"/>
      <c r="F55" s="44"/>
      <c r="G55" s="18"/>
      <c r="H55" s="45">
        <f t="shared" si="4"/>
        <v>16.670000000000002</v>
      </c>
      <c r="J55" s="163">
        <f>Kernza!L56</f>
        <v>1</v>
      </c>
      <c r="K55" s="129" t="str">
        <f>Kernza!M56</f>
        <v>ac</v>
      </c>
      <c r="L55" s="77">
        <f>Kernza!N56</f>
        <v>16.670000000000002</v>
      </c>
      <c r="M55" s="130" t="str">
        <f>Kernza!O56</f>
        <v>ac</v>
      </c>
    </row>
    <row r="56" spans="1:14" ht="15.45" x14ac:dyDescent="0.4">
      <c r="A56" s="6" t="s">
        <v>59</v>
      </c>
      <c r="B56" s="1"/>
      <c r="C56" s="1"/>
      <c r="D56" s="44"/>
      <c r="E56" s="18"/>
      <c r="F56" s="44"/>
      <c r="G56" s="18"/>
      <c r="H56" s="45">
        <f t="shared" si="4"/>
        <v>6.54</v>
      </c>
      <c r="J56" s="163">
        <f>Kernza!L57</f>
        <v>1</v>
      </c>
      <c r="K56" s="129" t="str">
        <f>Kernza!M57</f>
        <v>ac</v>
      </c>
      <c r="L56" s="77">
        <f>Kernza!N57</f>
        <v>6.54</v>
      </c>
      <c r="M56" s="130" t="str">
        <f>Kernza!O57</f>
        <v>ac</v>
      </c>
    </row>
    <row r="57" spans="1:14" ht="15.45" x14ac:dyDescent="0.4">
      <c r="A57" s="6" t="s">
        <v>60</v>
      </c>
      <c r="B57" s="1"/>
      <c r="C57" s="1"/>
      <c r="D57" s="44"/>
      <c r="E57" s="18"/>
      <c r="F57" s="44"/>
      <c r="G57" s="18"/>
      <c r="H57" s="45">
        <f t="shared" si="4"/>
        <v>15.32</v>
      </c>
      <c r="J57" s="163">
        <f>Kernza!L58</f>
        <v>1</v>
      </c>
      <c r="K57" s="129" t="str">
        <f>Kernza!M58</f>
        <v>ac</v>
      </c>
      <c r="L57" s="77">
        <f>Kernza!N58</f>
        <v>15.32</v>
      </c>
      <c r="M57" s="130" t="str">
        <f>Kernza!O58</f>
        <v>ac</v>
      </c>
    </row>
    <row r="58" spans="1:14" ht="15.45" x14ac:dyDescent="0.4">
      <c r="A58" s="6" t="s">
        <v>61</v>
      </c>
      <c r="B58" s="1"/>
      <c r="C58" s="1"/>
      <c r="D58" s="44"/>
      <c r="E58" s="18"/>
      <c r="F58" s="44"/>
      <c r="G58" s="18"/>
      <c r="H58" s="45">
        <f t="shared" si="4"/>
        <v>53.12</v>
      </c>
      <c r="J58" s="163">
        <f>Kernza!L59</f>
        <v>1</v>
      </c>
      <c r="K58" s="129" t="str">
        <f>Kernza!M59</f>
        <v>ac</v>
      </c>
      <c r="L58" s="77">
        <f>Kernza!N59</f>
        <v>53.12</v>
      </c>
      <c r="M58" s="130" t="str">
        <f>Kernza!O59</f>
        <v>ac</v>
      </c>
    </row>
    <row r="59" spans="1:14" ht="15.9" thickBot="1" x14ac:dyDescent="0.45">
      <c r="A59" s="57" t="s">
        <v>62</v>
      </c>
      <c r="B59" s="58"/>
      <c r="C59" s="58"/>
      <c r="D59" s="67">
        <f>H59</f>
        <v>34.909999999999997</v>
      </c>
      <c r="E59" s="28"/>
      <c r="F59" s="67"/>
      <c r="G59" s="28"/>
      <c r="H59" s="46">
        <f t="shared" si="4"/>
        <v>34.909999999999997</v>
      </c>
      <c r="J59" s="163">
        <f>Kernza!L60</f>
        <v>1</v>
      </c>
      <c r="K59" s="129" t="str">
        <f>Kernza!M60</f>
        <v>ac</v>
      </c>
      <c r="L59" s="77">
        <f>Kernza!N60</f>
        <v>34.909999999999997</v>
      </c>
      <c r="M59" s="130" t="str">
        <f>Kernza!O60</f>
        <v>ac</v>
      </c>
    </row>
    <row r="60" spans="1:14" ht="15.45" x14ac:dyDescent="0.4">
      <c r="A60" s="100" t="s">
        <v>48</v>
      </c>
      <c r="B60" s="95"/>
      <c r="C60" s="95"/>
      <c r="D60" s="101">
        <f>SUM(D51:D59)</f>
        <v>133</v>
      </c>
      <c r="E60" s="101"/>
      <c r="F60" s="101">
        <f t="shared" ref="F60" si="6">SUM(F51:F59)</f>
        <v>45.24</v>
      </c>
      <c r="G60" s="18"/>
      <c r="H60" s="70"/>
      <c r="J60" s="163"/>
      <c r="K60" s="129"/>
      <c r="L60" s="77"/>
      <c r="M60" s="130"/>
    </row>
    <row r="61" spans="1:14" ht="15.45" x14ac:dyDescent="0.4">
      <c r="A61" s="56"/>
      <c r="B61" s="1"/>
      <c r="C61" s="1"/>
      <c r="D61" s="89"/>
      <c r="E61" s="18"/>
      <c r="F61" s="89"/>
      <c r="G61" s="18"/>
      <c r="H61" s="36"/>
      <c r="J61" s="163"/>
      <c r="K61" s="129"/>
      <c r="L61" s="77"/>
      <c r="M61" s="130"/>
    </row>
    <row r="62" spans="1:14" ht="17.600000000000001" x14ac:dyDescent="0.4">
      <c r="A62" s="59" t="s">
        <v>68</v>
      </c>
      <c r="B62" s="1"/>
      <c r="C62" s="1"/>
      <c r="D62" s="44"/>
      <c r="E62" s="18"/>
      <c r="F62" s="44"/>
      <c r="G62" s="18"/>
      <c r="H62" s="34"/>
      <c r="J62" s="163"/>
      <c r="K62" s="129"/>
      <c r="L62" s="77"/>
      <c r="M62" s="130"/>
    </row>
    <row r="63" spans="1:14" ht="15.45" x14ac:dyDescent="0.4">
      <c r="A63" s="56" t="s">
        <v>63</v>
      </c>
      <c r="B63" s="1"/>
      <c r="C63" s="1"/>
      <c r="D63" s="44">
        <f>H63</f>
        <v>5.508</v>
      </c>
      <c r="E63" s="18"/>
      <c r="F63" s="44"/>
      <c r="G63" s="18"/>
      <c r="H63" s="45">
        <f>J63*L63</f>
        <v>5.508</v>
      </c>
      <c r="J63" s="169">
        <f>J31/1000</f>
        <v>1.8</v>
      </c>
      <c r="K63" s="129" t="str">
        <f>Kernza!M64</f>
        <v>ea</v>
      </c>
      <c r="L63" s="77">
        <f>Kernza!N64</f>
        <v>3.06</v>
      </c>
      <c r="M63" s="130" t="str">
        <f>Kernza!O64</f>
        <v>ea</v>
      </c>
    </row>
    <row r="64" spans="1:14" ht="15.45" x14ac:dyDescent="0.4">
      <c r="A64" s="56" t="s">
        <v>64</v>
      </c>
      <c r="B64" s="1"/>
      <c r="C64" s="1"/>
      <c r="D64" s="44"/>
      <c r="E64" s="18"/>
      <c r="F64" s="44"/>
      <c r="G64" s="18"/>
      <c r="H64" s="45">
        <f t="shared" ref="H64:H66" si="7">J64*L64</f>
        <v>0.8</v>
      </c>
      <c r="J64" s="163">
        <f>Kernza!L65</f>
        <v>5</v>
      </c>
      <c r="K64" s="129" t="str">
        <f>Kernza!M65</f>
        <v>bu/ac</v>
      </c>
      <c r="L64" s="77">
        <f>Kernza!N65</f>
        <v>0.16</v>
      </c>
      <c r="M64" s="130" t="str">
        <f>Kernza!O65</f>
        <v>bu</v>
      </c>
    </row>
    <row r="65" spans="1:25" ht="15.45" x14ac:dyDescent="0.4">
      <c r="A65" s="56" t="s">
        <v>65</v>
      </c>
      <c r="B65" s="1"/>
      <c r="C65" s="1"/>
      <c r="D65" s="44"/>
      <c r="E65" s="18"/>
      <c r="F65" s="44"/>
      <c r="G65" s="18"/>
      <c r="H65" s="45">
        <f t="shared" si="7"/>
        <v>0.52800000000000002</v>
      </c>
      <c r="J65" s="163">
        <f>Kernza!L66</f>
        <v>3.3</v>
      </c>
      <c r="K65" s="129" t="str">
        <f>Kernza!M66</f>
        <v>bu</v>
      </c>
      <c r="L65" s="77">
        <f>Kernza!N66</f>
        <v>0.16</v>
      </c>
      <c r="M65" s="130" t="str">
        <f>Kernza!O66</f>
        <v>bu</v>
      </c>
    </row>
    <row r="66" spans="1:25" ht="15.9" thickBot="1" x14ac:dyDescent="0.45">
      <c r="A66" s="57" t="s">
        <v>78</v>
      </c>
      <c r="B66" s="58"/>
      <c r="C66" s="58"/>
      <c r="D66" s="67"/>
      <c r="E66" s="28"/>
      <c r="F66" s="44"/>
      <c r="G66" s="28"/>
      <c r="H66" s="46">
        <f t="shared" si="7"/>
        <v>0.2</v>
      </c>
      <c r="I66" s="1"/>
      <c r="J66" s="163">
        <f>Kernza!L67</f>
        <v>1</v>
      </c>
      <c r="K66" s="129" t="str">
        <f>Kernza!M67</f>
        <v>lb</v>
      </c>
      <c r="L66" s="77">
        <f>Kernza!N67</f>
        <v>0.2</v>
      </c>
      <c r="M66" s="130" t="str">
        <f>Kernza!O67</f>
        <v>lb</v>
      </c>
    </row>
    <row r="67" spans="1:25" ht="15.45" x14ac:dyDescent="0.4">
      <c r="A67" s="99" t="s">
        <v>50</v>
      </c>
      <c r="B67" s="95"/>
      <c r="C67" s="95"/>
      <c r="D67" s="93">
        <f>SUM(D62:D66)</f>
        <v>5.508</v>
      </c>
      <c r="E67" s="93"/>
      <c r="F67" s="93">
        <f t="shared" ref="F67" si="8">SUM(F62:F66)</f>
        <v>0</v>
      </c>
      <c r="G67" s="18"/>
      <c r="H67" s="1"/>
      <c r="I67" s="1"/>
      <c r="J67" s="163"/>
      <c r="K67" s="129"/>
      <c r="L67" s="77"/>
      <c r="M67" s="130"/>
    </row>
    <row r="68" spans="1:25" ht="15.45" x14ac:dyDescent="0.4">
      <c r="A68" s="1"/>
      <c r="B68" s="1"/>
      <c r="C68" s="1"/>
      <c r="D68" s="18"/>
      <c r="E68" s="18"/>
      <c r="F68" s="18"/>
      <c r="G68" s="18"/>
      <c r="H68" s="1"/>
      <c r="I68" s="1"/>
      <c r="J68" s="163"/>
      <c r="K68" s="129"/>
      <c r="L68" s="77"/>
      <c r="M68" s="130"/>
      <c r="V68" t="s">
        <v>140</v>
      </c>
      <c r="X68" s="208">
        <v>30000</v>
      </c>
      <c r="Y68" t="s">
        <v>141</v>
      </c>
    </row>
    <row r="69" spans="1:25" ht="15.45" x14ac:dyDescent="0.4">
      <c r="A69" s="41" t="s">
        <v>119</v>
      </c>
      <c r="B69" s="1"/>
      <c r="C69" s="1"/>
      <c r="D69" s="18"/>
      <c r="E69" s="18"/>
      <c r="F69" s="18"/>
      <c r="G69" s="18"/>
      <c r="H69" s="1"/>
      <c r="I69" s="1"/>
      <c r="J69" s="163"/>
      <c r="K69" s="129"/>
      <c r="L69" s="77"/>
      <c r="M69" s="130"/>
      <c r="X69" s="43">
        <f>X68*J72</f>
        <v>1425</v>
      </c>
      <c r="Y69" t="s">
        <v>142</v>
      </c>
    </row>
    <row r="70" spans="1:25" ht="15.45" x14ac:dyDescent="0.4">
      <c r="A70" s="1" t="s">
        <v>118</v>
      </c>
      <c r="B70" s="1"/>
      <c r="C70" s="1"/>
      <c r="D70" s="172">
        <f>H70</f>
        <v>2.2625000000000002</v>
      </c>
      <c r="E70" s="18"/>
      <c r="F70" s="172">
        <f>H70</f>
        <v>2.2625000000000002</v>
      </c>
      <c r="G70" s="18"/>
      <c r="H70" s="135">
        <f>J70*L70</f>
        <v>2.2625000000000002</v>
      </c>
      <c r="I70" s="1"/>
      <c r="J70" s="171">
        <v>2.5000000000000001E-3</v>
      </c>
      <c r="K70" s="129" t="s">
        <v>81</v>
      </c>
      <c r="L70" s="77">
        <v>905</v>
      </c>
      <c r="M70" s="130"/>
      <c r="N70" t="s">
        <v>121</v>
      </c>
      <c r="X70" s="43">
        <f>X69/2</f>
        <v>712.5</v>
      </c>
      <c r="Y70" t="s">
        <v>143</v>
      </c>
    </row>
    <row r="71" spans="1:25" ht="15.45" x14ac:dyDescent="0.4">
      <c r="A71" s="1" t="s">
        <v>120</v>
      </c>
      <c r="B71" s="1"/>
      <c r="C71" s="1"/>
      <c r="D71" s="172"/>
      <c r="E71" s="18"/>
      <c r="F71" s="172"/>
      <c r="G71" s="18"/>
      <c r="H71" s="135">
        <f>J71*J31</f>
        <v>275.7</v>
      </c>
      <c r="I71" s="1"/>
      <c r="J71" s="173">
        <f>((L71*100)/60)/100</f>
        <v>0.15316666666666667</v>
      </c>
      <c r="K71" s="129" t="s">
        <v>32</v>
      </c>
      <c r="L71" s="77">
        <v>9.19</v>
      </c>
      <c r="M71" s="130" t="s">
        <v>46</v>
      </c>
      <c r="N71">
        <v>2022</v>
      </c>
      <c r="O71" t="s">
        <v>122</v>
      </c>
      <c r="X71" s="209">
        <f>X70/1000</f>
        <v>0.71250000000000002</v>
      </c>
      <c r="Y71" t="s">
        <v>144</v>
      </c>
    </row>
    <row r="72" spans="1:25" ht="15.45" x14ac:dyDescent="0.4">
      <c r="A72" s="1" t="s">
        <v>79</v>
      </c>
      <c r="B72" s="1"/>
      <c r="C72" s="1"/>
      <c r="D72" s="172">
        <f>H72</f>
        <v>0.71250000000000002</v>
      </c>
      <c r="E72" s="18"/>
      <c r="F72" s="172">
        <f>H72</f>
        <v>0.71250000000000002</v>
      </c>
      <c r="G72" s="18"/>
      <c r="H72" s="135">
        <f>(X68*J72*L72)/1000</f>
        <v>0.71250000000000002</v>
      </c>
      <c r="I72" s="1"/>
      <c r="J72" s="171">
        <v>4.7500000000000001E-2</v>
      </c>
      <c r="K72" s="129">
        <f>Kernza!M81</f>
        <v>0</v>
      </c>
      <c r="L72" s="78">
        <v>0.5</v>
      </c>
      <c r="M72" s="130" t="s">
        <v>80</v>
      </c>
      <c r="N72" t="s">
        <v>145</v>
      </c>
    </row>
    <row r="73" spans="1:25" ht="15.45" x14ac:dyDescent="0.4">
      <c r="A73" s="1" t="s">
        <v>116</v>
      </c>
      <c r="B73" s="1"/>
      <c r="C73" s="1"/>
      <c r="D73" s="187">
        <f>H73</f>
        <v>9.0500000000000007</v>
      </c>
      <c r="E73" s="18"/>
      <c r="F73" s="187">
        <f>H73</f>
        <v>9.0500000000000007</v>
      </c>
      <c r="G73" s="18"/>
      <c r="H73" s="135">
        <f>J73*L73</f>
        <v>9.0500000000000007</v>
      </c>
      <c r="I73" s="1"/>
      <c r="J73" s="170">
        <v>0.01</v>
      </c>
      <c r="K73" s="129" t="s">
        <v>81</v>
      </c>
      <c r="L73" s="77">
        <v>905</v>
      </c>
      <c r="M73" s="130"/>
      <c r="N73" t="s">
        <v>117</v>
      </c>
      <c r="S73" s="185" t="s">
        <v>126</v>
      </c>
      <c r="T73" s="185"/>
      <c r="U73" s="185"/>
      <c r="V73" s="43"/>
    </row>
    <row r="74" spans="1:25" ht="17.149999999999999" x14ac:dyDescent="0.4">
      <c r="A74" s="9" t="s">
        <v>83</v>
      </c>
      <c r="B74" s="9"/>
      <c r="C74" s="9"/>
      <c r="D74" s="186">
        <f>H74</f>
        <v>37</v>
      </c>
      <c r="E74" s="114"/>
      <c r="F74" s="186">
        <f>H74</f>
        <v>37</v>
      </c>
      <c r="G74" s="18"/>
      <c r="H74" s="135">
        <f>(J74*L74)</f>
        <v>37</v>
      </c>
      <c r="I74" s="1"/>
      <c r="J74" s="163">
        <v>1</v>
      </c>
      <c r="K74" s="129" t="s">
        <v>45</v>
      </c>
      <c r="L74" s="77">
        <v>37</v>
      </c>
      <c r="M74" s="130">
        <f>Kernza!O78</f>
        <v>0</v>
      </c>
      <c r="N74" t="s">
        <v>124</v>
      </c>
      <c r="S74" s="185" t="s">
        <v>125</v>
      </c>
      <c r="T74" s="185"/>
      <c r="U74" s="185"/>
    </row>
    <row r="75" spans="1:25" ht="15.45" x14ac:dyDescent="0.4">
      <c r="A75" s="95" t="s">
        <v>127</v>
      </c>
      <c r="B75" s="95"/>
      <c r="C75" s="95"/>
      <c r="D75" s="93">
        <f>D70+D71+D72+D74</f>
        <v>39.975000000000001</v>
      </c>
      <c r="E75" s="93"/>
      <c r="F75" s="93">
        <f t="shared" ref="F75" si="9">F70+F71+F72+F74</f>
        <v>39.975000000000001</v>
      </c>
      <c r="G75" s="18"/>
      <c r="H75" s="1"/>
      <c r="I75" s="1"/>
      <c r="J75" s="163"/>
      <c r="K75" s="129"/>
      <c r="L75" s="129"/>
      <c r="M75" s="130"/>
    </row>
    <row r="76" spans="1:25" ht="15.45" x14ac:dyDescent="0.4">
      <c r="B76" s="1" t="s">
        <v>146</v>
      </c>
      <c r="C76" s="1"/>
      <c r="D76" s="188">
        <f>D35+D42+D48+D60+D67+D75</f>
        <v>295.44300000000004</v>
      </c>
      <c r="E76" s="188"/>
      <c r="F76" s="188">
        <f t="shared" ref="F76" si="10">F35+F42+F48+F60+F67+F75</f>
        <v>94.515000000000015</v>
      </c>
      <c r="G76" s="18"/>
      <c r="H76" s="1"/>
      <c r="I76" s="1"/>
      <c r="J76" s="78"/>
      <c r="K76" s="129"/>
      <c r="L76" s="129"/>
      <c r="M76" s="129"/>
    </row>
    <row r="77" spans="1:25" ht="15.45" x14ac:dyDescent="0.4">
      <c r="A77" s="189" t="s">
        <v>147</v>
      </c>
      <c r="B77" s="189"/>
      <c r="C77" s="189"/>
      <c r="D77" s="190">
        <f>D75+D76</f>
        <v>335.41800000000006</v>
      </c>
      <c r="E77" s="190"/>
      <c r="F77" s="190">
        <f t="shared" ref="F77" si="11">F75+F76</f>
        <v>134.49</v>
      </c>
      <c r="G77" s="18"/>
      <c r="H77" s="1"/>
      <c r="I77" s="1"/>
      <c r="J77" s="78"/>
      <c r="K77" s="129"/>
      <c r="L77" s="129"/>
      <c r="M77" s="129"/>
    </row>
    <row r="78" spans="1:25" ht="15.45" x14ac:dyDescent="0.4">
      <c r="A78" s="1"/>
      <c r="B78" s="1"/>
      <c r="C78" s="1"/>
      <c r="D78" s="18"/>
      <c r="E78" s="18"/>
      <c r="F78" s="18"/>
      <c r="G78" s="18"/>
      <c r="H78" s="1"/>
      <c r="I78" s="1"/>
      <c r="J78" s="78"/>
      <c r="K78" s="129"/>
      <c r="L78" s="129"/>
      <c r="M78" s="129"/>
    </row>
    <row r="79" spans="1:25" ht="15.45" x14ac:dyDescent="0.4">
      <c r="A79" s="95" t="s">
        <v>128</v>
      </c>
      <c r="B79" s="95"/>
      <c r="C79" s="95"/>
      <c r="D79" s="93">
        <f>D70+D71+D72+D73</f>
        <v>12.025</v>
      </c>
      <c r="E79" s="93"/>
      <c r="F79" s="93">
        <f t="shared" ref="F79" si="12">F70+F71+F72+F73</f>
        <v>12.025</v>
      </c>
      <c r="G79" s="18"/>
      <c r="H79" s="1"/>
      <c r="I79" s="1"/>
      <c r="J79" s="78"/>
      <c r="K79" s="129"/>
      <c r="L79" s="129"/>
      <c r="M79" s="129"/>
    </row>
    <row r="80" spans="1:25" ht="15.45" x14ac:dyDescent="0.4">
      <c r="A80" s="1"/>
      <c r="B80" s="1" t="s">
        <v>148</v>
      </c>
      <c r="C80" s="1"/>
      <c r="D80" s="18">
        <f>D35+D42+D48+D60+D67</f>
        <v>255.46800000000002</v>
      </c>
      <c r="E80" s="18"/>
      <c r="F80" s="18">
        <f t="shared" ref="F80" si="13">F35+F42+F48+F60+F67</f>
        <v>54.540000000000006</v>
      </c>
      <c r="G80" s="18"/>
      <c r="H80" s="1"/>
      <c r="I80" s="1"/>
      <c r="J80" s="78"/>
      <c r="K80" s="129"/>
      <c r="L80" s="129"/>
      <c r="M80" s="129"/>
    </row>
    <row r="81" spans="1:13" ht="15.45" x14ac:dyDescent="0.4">
      <c r="A81" s="189" t="s">
        <v>129</v>
      </c>
      <c r="B81" s="189"/>
      <c r="C81" s="189"/>
      <c r="D81" s="190">
        <f>D80+D79</f>
        <v>267.49299999999999</v>
      </c>
      <c r="E81" s="190"/>
      <c r="F81" s="190">
        <f t="shared" ref="F81" si="14">F80+F79</f>
        <v>66.565000000000012</v>
      </c>
      <c r="G81" s="18"/>
      <c r="H81" s="1"/>
      <c r="I81" s="1"/>
      <c r="J81" s="1"/>
      <c r="K81" s="1"/>
      <c r="L81" s="1"/>
      <c r="M81" s="1"/>
    </row>
    <row r="82" spans="1:13" ht="15.45" x14ac:dyDescent="0.4">
      <c r="G82" s="18"/>
      <c r="H82" s="1"/>
      <c r="I82" s="1"/>
      <c r="J82" s="1"/>
      <c r="K82" s="1"/>
      <c r="L82" s="1"/>
      <c r="M82" s="1"/>
    </row>
    <row r="83" spans="1:13" ht="15.45" x14ac:dyDescent="0.4">
      <c r="A83" s="1"/>
      <c r="B83" s="1"/>
      <c r="C83" s="1"/>
      <c r="E83" s="113"/>
      <c r="F83" s="113"/>
      <c r="G83" s="18"/>
      <c r="H83" s="1"/>
      <c r="I83" s="1"/>
      <c r="J83" s="1"/>
      <c r="K83" s="1"/>
      <c r="L83" s="1"/>
      <c r="M83" s="1"/>
    </row>
    <row r="84" spans="1:13" ht="15.45" x14ac:dyDescent="0.4">
      <c r="G84" s="18"/>
      <c r="H84" s="1"/>
      <c r="I84" s="1"/>
      <c r="J84" s="1"/>
      <c r="K84" s="1"/>
      <c r="L84" s="1"/>
      <c r="M84" s="1"/>
    </row>
    <row r="85" spans="1:13" ht="15.45" x14ac:dyDescent="0.4">
      <c r="A85" s="1"/>
      <c r="B85" s="1"/>
      <c r="C85" s="1"/>
      <c r="D85" s="18"/>
      <c r="E85" s="18"/>
      <c r="F85" s="18"/>
      <c r="G85" s="18"/>
      <c r="H85" s="1"/>
      <c r="I85" s="1"/>
      <c r="J85" s="1"/>
      <c r="K85" s="1"/>
      <c r="L85" s="1"/>
      <c r="M85" s="1"/>
    </row>
    <row r="86" spans="1:13" ht="15.4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45" x14ac:dyDescent="0.4">
      <c r="A87" s="1" t="s">
        <v>69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45" x14ac:dyDescent="0.4">
      <c r="A88" s="1" t="s">
        <v>72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45" x14ac:dyDescent="0.4">
      <c r="A89" s="1" t="s">
        <v>84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45" x14ac:dyDescent="0.4">
      <c r="A90" s="1" t="s">
        <v>87</v>
      </c>
      <c r="B90" s="1"/>
      <c r="C90" s="1"/>
      <c r="D90" s="1"/>
      <c r="E90" s="1"/>
      <c r="F90" s="1"/>
      <c r="G90" s="116" t="s">
        <v>88</v>
      </c>
      <c r="H90" s="1"/>
      <c r="I90" s="1"/>
      <c r="J90" s="1"/>
      <c r="K90" s="1"/>
      <c r="L90" s="1"/>
      <c r="M90" s="1"/>
    </row>
    <row r="91" spans="1:13" ht="15.4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45" x14ac:dyDescent="0.4">
      <c r="A92" s="1" t="s">
        <v>24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4" spans="1:13" ht="15.45" x14ac:dyDescent="0.4">
      <c r="A94" s="1"/>
      <c r="D94" s="18"/>
      <c r="E94" s="18"/>
      <c r="F94" s="18"/>
    </row>
  </sheetData>
  <mergeCells count="2">
    <mergeCell ref="D28:F28"/>
    <mergeCell ref="D50:E50"/>
  </mergeCells>
  <hyperlinks>
    <hyperlink ref="G90" r:id="rId1" display="https://wyoextension.org/publications/html/B1315-5/" xr:uid="{3E0B994C-021B-4AA8-8922-11DD4666072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2D2A-8A66-4B5F-A26D-6013BE669065}">
  <dimension ref="A2:X80"/>
  <sheetViews>
    <sheetView workbookViewId="0">
      <selection activeCell="D28" sqref="D28"/>
    </sheetView>
  </sheetViews>
  <sheetFormatPr defaultRowHeight="14.15" x14ac:dyDescent="0.35"/>
  <sheetData>
    <row r="2" spans="1:24" ht="25.3" x14ac:dyDescent="0.6">
      <c r="A2" s="2" t="s">
        <v>155</v>
      </c>
    </row>
    <row r="3" spans="1:24" ht="15.45" x14ac:dyDescent="0.4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15.45" x14ac:dyDescent="0.4">
      <c r="A4" s="13" t="s">
        <v>160</v>
      </c>
      <c r="B4" s="13"/>
      <c r="C4" s="13"/>
      <c r="D4" s="13"/>
      <c r="E4" s="13"/>
      <c r="F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5.45" x14ac:dyDescent="0.4">
      <c r="A5" s="13"/>
      <c r="B5" s="13" t="s">
        <v>161</v>
      </c>
      <c r="C5" s="13"/>
      <c r="D5" s="13"/>
      <c r="E5" s="13"/>
      <c r="F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15.45" x14ac:dyDescent="0.4">
      <c r="A6" s="13"/>
      <c r="B6" s="229" t="s">
        <v>88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 t="s">
        <v>158</v>
      </c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5.45" x14ac:dyDescent="0.4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15.45" x14ac:dyDescent="0.4">
      <c r="A8" s="13" t="s">
        <v>156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15.45" x14ac:dyDescent="0.4">
      <c r="A9" s="13"/>
      <c r="B9" s="13" t="s">
        <v>159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5.45" x14ac:dyDescent="0.4">
      <c r="A10" s="13"/>
      <c r="B10" s="116" t="s">
        <v>169</v>
      </c>
      <c r="C10" s="13"/>
      <c r="D10" s="13"/>
      <c r="E10" s="13"/>
      <c r="F10" s="13"/>
      <c r="G10" s="13"/>
      <c r="H10" s="13"/>
      <c r="I10" s="13"/>
      <c r="J10" s="13"/>
      <c r="K10" s="13" t="s">
        <v>158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5.45" x14ac:dyDescent="0.4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5.45" x14ac:dyDescent="0.4">
      <c r="A12" s="13" t="s">
        <v>166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5.45" x14ac:dyDescent="0.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5.45" x14ac:dyDescent="0.4">
      <c r="A14" s="13" t="s">
        <v>167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5.45" x14ac:dyDescent="0.4">
      <c r="A15" s="13"/>
      <c r="B15" s="116" t="s">
        <v>168</v>
      </c>
      <c r="C15" s="13"/>
      <c r="D15" s="13"/>
      <c r="E15" s="13" t="s">
        <v>158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5.45" x14ac:dyDescent="0.4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5.45" x14ac:dyDescent="0.4">
      <c r="A17" s="13" t="s">
        <v>163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5.45" x14ac:dyDescent="0.4">
      <c r="A18" s="13"/>
      <c r="B18" s="13" t="s">
        <v>165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5.45" x14ac:dyDescent="0.4">
      <c r="A19" s="13"/>
      <c r="B19" s="116" t="s">
        <v>162</v>
      </c>
      <c r="C19" s="13"/>
      <c r="D19" s="13"/>
      <c r="E19" s="13"/>
      <c r="F19" s="13" t="s">
        <v>164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5.45" x14ac:dyDescent="0.4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5.45" x14ac:dyDescent="0.4">
      <c r="A21" s="13" t="s">
        <v>157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5.45" x14ac:dyDescent="0.4">
      <c r="A22" s="13"/>
      <c r="B22" s="116" t="s">
        <v>170</v>
      </c>
      <c r="C22" s="13"/>
      <c r="D22" s="13"/>
      <c r="E22" s="13"/>
      <c r="F22" s="13"/>
      <c r="G22" s="13"/>
      <c r="H22" s="13" t="s">
        <v>171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5.45" x14ac:dyDescent="0.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5.45" x14ac:dyDescent="0.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5.45" x14ac:dyDescent="0.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5.45" x14ac:dyDescent="0.4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5.45" x14ac:dyDescent="0.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5.45" x14ac:dyDescent="0.4">
      <c r="A28" s="13"/>
      <c r="B28" s="116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5.45" x14ac:dyDescent="0.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5.45" x14ac:dyDescent="0.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5.45" x14ac:dyDescent="0.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.45" x14ac:dyDescent="0.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5.45" x14ac:dyDescent="0.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5.45" x14ac:dyDescent="0.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5.45" x14ac:dyDescent="0.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5.45" x14ac:dyDescent="0.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5.45" x14ac:dyDescent="0.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5.45" x14ac:dyDescent="0.4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5.45" x14ac:dyDescent="0.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5.45" x14ac:dyDescent="0.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5.45" x14ac:dyDescent="0.4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5.45" x14ac:dyDescent="0.4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5.45" x14ac:dyDescent="0.4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5.45" x14ac:dyDescent="0.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5.45" x14ac:dyDescent="0.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5.45" x14ac:dyDescent="0.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5.45" x14ac:dyDescent="0.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5.45" x14ac:dyDescent="0.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5.45" x14ac:dyDescent="0.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5.45" x14ac:dyDescent="0.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5.45" x14ac:dyDescent="0.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5.45" x14ac:dyDescent="0.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5.45" x14ac:dyDescent="0.4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5.45" x14ac:dyDescent="0.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5.45" x14ac:dyDescent="0.4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5.45" x14ac:dyDescent="0.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5.45" x14ac:dyDescent="0.4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5.45" x14ac:dyDescent="0.4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5.45" x14ac:dyDescent="0.4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5.45" x14ac:dyDescent="0.4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5.45" x14ac:dyDescent="0.4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5.45" x14ac:dyDescent="0.4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5.45" x14ac:dyDescent="0.4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5.45" x14ac:dyDescent="0.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5.45" x14ac:dyDescent="0.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5.45" x14ac:dyDescent="0.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5.45" x14ac:dyDescent="0.4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5.45" x14ac:dyDescent="0.4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5.45" x14ac:dyDescent="0.4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5.45" x14ac:dyDescent="0.4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5.45" x14ac:dyDescent="0.4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5.45" x14ac:dyDescent="0.4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5.45" x14ac:dyDescent="0.4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5.45" x14ac:dyDescent="0.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5.45" x14ac:dyDescent="0.4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5.45" x14ac:dyDescent="0.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5.45" x14ac:dyDescent="0.4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5.45" x14ac:dyDescent="0.4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5.45" x14ac:dyDescent="0.4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5.45" x14ac:dyDescent="0.4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</sheetData>
  <hyperlinks>
    <hyperlink ref="B6" r:id="rId1" display="https://wyoextension.org/publications/html/B1315-5/" xr:uid="{8F4516D9-42ED-4320-A3F0-F1760E5DD61B}"/>
    <hyperlink ref="B19" r:id="rId2" display="https://kernza.org/wp-content/uploads/Grower-guide_final.pdf" xr:uid="{0F8CB788-1F35-4F0A-A0C7-79B9F4B55191}"/>
    <hyperlink ref="B15" r:id="rId3" display="https://extensionpublications.unl.edu/assets/pdf/ec823.pdf" xr:uid="{3575B373-2588-42BD-88AB-D555B8B3F67C}"/>
    <hyperlink ref="B10" r:id="rId4" display="https://agecon.unl.edu/nebraska-farmland-values-and-cash-rental-rates-2023" xr:uid="{9DF2BBE3-AD00-4FED-AE42-50BDEDB31737}"/>
    <hyperlink ref="B22" r:id="rId5" display="https://www.nass.usda.gov/Quick_Stats/" xr:uid="{34EB4388-C4F3-4180-80CD-E2EED9A2D2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Kernza</vt:lpstr>
      <vt:lpstr>Wheat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K. Foulke</dc:creator>
  <cp:lastModifiedBy>Thomas K. Foulke</cp:lastModifiedBy>
  <dcterms:created xsi:type="dcterms:W3CDTF">2022-11-15T15:10:27Z</dcterms:created>
  <dcterms:modified xsi:type="dcterms:W3CDTF">2023-10-13T16:15:32Z</dcterms:modified>
</cp:coreProperties>
</file>