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exuslocke/Documents/Cornell Research/"/>
    </mc:Choice>
  </mc:AlternateContent>
  <xr:revisionPtr revIDLastSave="0" documentId="13_ncr:1_{320CA129-012B-C64E-998B-7E4E42F1A06C}" xr6:coauthVersionLast="45" xr6:coauthVersionMax="45" xr10:uidLastSave="{00000000-0000-0000-0000-000000000000}"/>
  <bookViews>
    <workbookView xWindow="0" yWindow="460" windowWidth="28800" windowHeight="16580" tabRatio="500" xr2:uid="{00000000-000D-0000-FFFF-FFFF00000000}"/>
  </bookViews>
  <sheets>
    <sheet name="1a" sheetId="1" r:id="rId1"/>
    <sheet name="Part C solving for Kx" sheetId="2" r:id="rId2"/>
  </sheets>
  <externalReferences>
    <externalReference r:id="rId3"/>
    <externalReference r:id="rId4"/>
    <externalReference r:id="rId5"/>
  </externalReferences>
  <definedNames>
    <definedName name="solver_adj" localSheetId="0" hidden="1">'1a'!$A$58,'1a'!$B$58,'1a'!$C$58,'1a'!$D$58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'1a'!$C$58</definedName>
    <definedName name="solver_lhs2" localSheetId="0" hidden="1">'1a'!$D$58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'1a'!$D$53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0.0000001</definedName>
    <definedName name="solver_rhs2" localSheetId="0" hidden="1">0.000001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6" i="1" l="1"/>
  <c r="A77" i="1"/>
  <c r="A78" i="1"/>
  <c r="A79" i="1"/>
  <c r="A80" i="1"/>
  <c r="A75" i="1"/>
  <c r="B34" i="1"/>
  <c r="B35" i="1"/>
  <c r="B36" i="1"/>
  <c r="B37" i="1"/>
  <c r="A50" i="1" s="1"/>
  <c r="B38" i="1"/>
  <c r="B33" i="1"/>
  <c r="C48" i="1"/>
  <c r="C45" i="1"/>
  <c r="A46" i="1"/>
  <c r="B46" i="1"/>
  <c r="B47" i="1"/>
  <c r="B48" i="1"/>
  <c r="B49" i="1"/>
  <c r="B50" i="1"/>
  <c r="B51" i="1"/>
  <c r="B45" i="1"/>
  <c r="A47" i="1"/>
  <c r="C47" i="1" s="1"/>
  <c r="D47" i="1" s="1"/>
  <c r="A48" i="1"/>
  <c r="A49" i="1"/>
  <c r="C49" i="1" s="1"/>
  <c r="A51" i="1"/>
  <c r="C51" i="1" s="1"/>
  <c r="D51" i="1" s="1"/>
  <c r="A45" i="1"/>
  <c r="B9" i="2"/>
  <c r="B7" i="2"/>
  <c r="C50" i="1" l="1"/>
  <c r="D50" i="1" s="1"/>
  <c r="C46" i="1"/>
  <c r="D46" i="1" s="1"/>
  <c r="D48" i="1"/>
  <c r="D49" i="1"/>
  <c r="D45" i="1"/>
  <c r="B21" i="2"/>
  <c r="B20" i="2"/>
  <c r="B19" i="2"/>
  <c r="B18" i="2"/>
  <c r="E27" i="1"/>
  <c r="D27" i="1"/>
  <c r="C27" i="1"/>
  <c r="C38" i="1" s="1"/>
  <c r="B27" i="1"/>
  <c r="E26" i="1"/>
  <c r="D26" i="1"/>
  <c r="C26" i="1"/>
  <c r="C37" i="1" s="1"/>
  <c r="B26" i="1"/>
  <c r="E25" i="1"/>
  <c r="D25" i="1"/>
  <c r="C25" i="1"/>
  <c r="C36" i="1" s="1"/>
  <c r="B25" i="1"/>
  <c r="E24" i="1"/>
  <c r="D24" i="1"/>
  <c r="C24" i="1"/>
  <c r="C35" i="1" s="1"/>
  <c r="B24" i="1"/>
  <c r="E23" i="1"/>
  <c r="D23" i="1"/>
  <c r="C23" i="1"/>
  <c r="C34" i="1" s="1"/>
  <c r="B23" i="1"/>
  <c r="E22" i="1"/>
  <c r="D22" i="1"/>
  <c r="C22" i="1"/>
  <c r="C33" i="1" s="1"/>
  <c r="B22" i="1"/>
  <c r="E21" i="1"/>
  <c r="D21" i="1"/>
  <c r="C21" i="1"/>
  <c r="C32" i="1" s="1"/>
  <c r="B21" i="1"/>
  <c r="B12" i="1"/>
  <c r="C5" i="1"/>
  <c r="C6" i="1" s="1"/>
  <c r="C7" i="1" s="1"/>
  <c r="C2" i="1"/>
  <c r="D52" i="1" l="1"/>
  <c r="D53" i="1" s="1"/>
  <c r="D32" i="1"/>
  <c r="D33" i="1"/>
  <c r="D34" i="1"/>
  <c r="D35" i="1"/>
  <c r="D36" i="1"/>
  <c r="D37" i="1"/>
  <c r="D38" i="1"/>
  <c r="E32" i="1"/>
  <c r="E33" i="1"/>
  <c r="E34" i="1"/>
  <c r="E35" i="1"/>
  <c r="E36" i="1"/>
  <c r="E37" i="1"/>
  <c r="E38" i="1"/>
  <c r="B32" i="1"/>
  <c r="B12" i="2" l="1"/>
  <c r="B34" i="2" s="1"/>
  <c r="B4" i="2"/>
  <c r="B22" i="2"/>
  <c r="B32" i="2" s="1"/>
  <c r="B29" i="2"/>
  <c r="B30" i="2"/>
  <c r="E29" i="2" l="1"/>
  <c r="B5" i="2"/>
  <c r="B31" i="2" s="1"/>
  <c r="G29" i="2" s="1"/>
  <c r="B14" i="2"/>
  <c r="B15" i="2" s="1"/>
  <c r="B35" i="2" s="1"/>
  <c r="B17" i="2"/>
  <c r="B33" i="2" s="1"/>
  <c r="F29" i="2" l="1"/>
</calcChain>
</file>

<file path=xl/sharedStrings.xml><?xml version="1.0" encoding="utf-8"?>
<sst xmlns="http://schemas.openxmlformats.org/spreadsheetml/2006/main" count="103" uniqueCount="79">
  <si>
    <t>IPTG (mM)</t>
  </si>
  <si>
    <t>low (mRNA/cell)</t>
  </si>
  <si>
    <t>high (mRNA/cell)</t>
  </si>
  <si>
    <t>W1</t>
  </si>
  <si>
    <t>W2</t>
  </si>
  <si>
    <t>n</t>
  </si>
  <si>
    <t>K</t>
  </si>
  <si>
    <t>I</t>
  </si>
  <si>
    <t>Determining u(I) --&gt; normalize data</t>
  </si>
  <si>
    <t>u (dimensionless)</t>
  </si>
  <si>
    <t>(u-u*)^2</t>
  </si>
  <si>
    <t>u* (model)</t>
  </si>
  <si>
    <t>L,j</t>
  </si>
  <si>
    <t>µ</t>
  </si>
  <si>
    <t>Tau,d</t>
  </si>
  <si>
    <t>Tau,1/2</t>
  </si>
  <si>
    <t>Theta</t>
  </si>
  <si>
    <t>R,xt</t>
  </si>
  <si>
    <t>Kx</t>
  </si>
  <si>
    <t>min</t>
  </si>
  <si>
    <t>nt</t>
  </si>
  <si>
    <t>min^-1</t>
  </si>
  <si>
    <t>Problem Statement</t>
  </si>
  <si>
    <t>Calculated</t>
  </si>
  <si>
    <t>G</t>
  </si>
  <si>
    <t>copies/cell</t>
  </si>
  <si>
    <t>nM</t>
  </si>
  <si>
    <t>nt/s</t>
  </si>
  <si>
    <t>µM</t>
  </si>
  <si>
    <t>Rx</t>
  </si>
  <si>
    <t>Taux</t>
  </si>
  <si>
    <t>min^1</t>
  </si>
  <si>
    <t>number/mol</t>
  </si>
  <si>
    <t>rx</t>
  </si>
  <si>
    <t>nmol/gDW</t>
  </si>
  <si>
    <t>B (gDW)</t>
  </si>
  <si>
    <t>1/(µ+theta)</t>
  </si>
  <si>
    <t>s^-1</t>
  </si>
  <si>
    <t>Parameters 1A:</t>
  </si>
  <si>
    <t>Nc (Cells/mL)</t>
  </si>
  <si>
    <t>V (mL)</t>
  </si>
  <si>
    <t>gDW/L (OD600 of 1)</t>
  </si>
  <si>
    <t>https://bionumbers.hms.harvard.edu/bionumber.aspx?s=n&amp;v=2&amp;id=109838</t>
  </si>
  <si>
    <t>gDW/mL (OD600 of 0.1)</t>
  </si>
  <si>
    <t>&lt;mc&gt; (gDW/cell)</t>
  </si>
  <si>
    <t>&lt;n&gt; (mRNA/cell)</t>
  </si>
  <si>
    <t>&lt;n&gt; (nmol/cell)</t>
  </si>
  <si>
    <t>low (nmol/cell)</t>
  </si>
  <si>
    <t>high (nmol/cell)</t>
  </si>
  <si>
    <t>IPTG (nmol/gdw)</t>
  </si>
  <si>
    <t>&lt;n&gt; (nmol/gdw)</t>
  </si>
  <si>
    <t>low (nmol/gdw)</t>
  </si>
  <si>
    <t>high (nmol/gdw)</t>
  </si>
  <si>
    <t>CONVERTED TABLE 1</t>
  </si>
  <si>
    <t>TABLE 1</t>
  </si>
  <si>
    <t>Kej</t>
  </si>
  <si>
    <t>Problem Set 2</t>
  </si>
  <si>
    <t>Given</t>
  </si>
  <si>
    <t>ej</t>
  </si>
  <si>
    <t>Calculated from above</t>
  </si>
  <si>
    <t>Tauxj</t>
  </si>
  <si>
    <t>McClure paper</t>
  </si>
  <si>
    <t>kej</t>
  </si>
  <si>
    <t>mL</t>
  </si>
  <si>
    <t>gDW/cell</t>
  </si>
  <si>
    <t>cells/ml</t>
  </si>
  <si>
    <t xml:space="preserve">V </t>
  </si>
  <si>
    <t xml:space="preserve">&lt;mc&gt; </t>
  </si>
  <si>
    <t xml:space="preserve">Nc </t>
  </si>
  <si>
    <t>B</t>
  </si>
  <si>
    <t>Kx,j</t>
  </si>
  <si>
    <t>Ki</t>
  </si>
  <si>
    <t>s-1</t>
  </si>
  <si>
    <t>Avagadro's #</t>
  </si>
  <si>
    <t>RNA/cell</t>
  </si>
  <si>
    <t>https://bionumbers.hms.harvard.edu/files/Parameters%20pertaining%20to%20the%20macromolecular%20synthesis%20rates%20in%20exponentially%20growing%20E.%20coli%20Br%20as%20a%20function%20of%20growth%20rate%20at%2037%20degrees%20celsius.pdf</t>
  </si>
  <si>
    <t xml:space="preserve">Parameters </t>
  </si>
  <si>
    <t>Log scale</t>
  </si>
  <si>
    <t>Log 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</si>
</sst>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212529"/>
      <name val="Roboto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horizontal="center" wrapText="1"/>
    </xf>
    <xf numFmtId="0" fontId="1" fillId="0" borderId="0" xfId="0" applyFont="1"/>
    <xf numFmtId="0" fontId="0" fillId="0" borderId="0" xfId="0" applyFont="1"/>
    <xf numFmtId="0" fontId="2" fillId="0" borderId="0" xfId="7"/>
    <xf numFmtId="0" fontId="5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ill="1"/>
    <xf numFmtId="11" fontId="0" fillId="0" borderId="0" xfId="0" applyNumberFormat="1"/>
    <xf numFmtId="11" fontId="0" fillId="0" borderId="0" xfId="0" applyNumberFormat="1" applyFill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'[2]Part A + U calc'!$K$10:$K$16</c:f>
              <c:numCache>
                <c:formatCode>General</c:formatCode>
                <c:ptCount val="7"/>
                <c:pt idx="0">
                  <c:v>0</c:v>
                </c:pt>
                <c:pt idx="1">
                  <c:v>1.5151515151515151</c:v>
                </c:pt>
                <c:pt idx="2">
                  <c:v>15.151515151515152</c:v>
                </c:pt>
                <c:pt idx="3">
                  <c:v>36.363636363636367</c:v>
                </c:pt>
                <c:pt idx="4">
                  <c:v>160.60606060606059</c:v>
                </c:pt>
                <c:pt idx="5">
                  <c:v>654.5454545454545</c:v>
                </c:pt>
                <c:pt idx="6">
                  <c:v>3030.3030303030305</c:v>
                </c:pt>
              </c:numCache>
            </c:numRef>
          </c:xVal>
          <c:yVal>
            <c:numRef>
              <c:f>'[2]Part A + U calc'!$L$10:$L$16</c:f>
              <c:numCache>
                <c:formatCode>General</c:formatCode>
                <c:ptCount val="7"/>
                <c:pt idx="0">
                  <c:v>0.20430107526881716</c:v>
                </c:pt>
                <c:pt idx="1">
                  <c:v>0.22580645161290319</c:v>
                </c:pt>
                <c:pt idx="2">
                  <c:v>0.44086021505376333</c:v>
                </c:pt>
                <c:pt idx="3">
                  <c:v>0.72043010752688175</c:v>
                </c:pt>
                <c:pt idx="4">
                  <c:v>0.92473118279569877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38-734C-8C6C-1CEC5438B652}"/>
            </c:ext>
          </c:extLst>
        </c:ser>
        <c:ser>
          <c:idx val="1"/>
          <c:order val="1"/>
          <c:tx>
            <c:v>Model Fitting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'[2]Part A + U calc'!$K$10:$K$16</c:f>
              <c:numCache>
                <c:formatCode>General</c:formatCode>
                <c:ptCount val="7"/>
                <c:pt idx="0">
                  <c:v>0</c:v>
                </c:pt>
                <c:pt idx="1">
                  <c:v>1.5151515151515151</c:v>
                </c:pt>
                <c:pt idx="2">
                  <c:v>15.151515151515152</c:v>
                </c:pt>
                <c:pt idx="3">
                  <c:v>36.363636363636367</c:v>
                </c:pt>
                <c:pt idx="4">
                  <c:v>160.60606060606059</c:v>
                </c:pt>
                <c:pt idx="5">
                  <c:v>654.5454545454545</c:v>
                </c:pt>
                <c:pt idx="6">
                  <c:v>3030.3030303030305</c:v>
                </c:pt>
              </c:numCache>
            </c:numRef>
          </c:xVal>
          <c:yVal>
            <c:numRef>
              <c:f>'[2]Part A + U calc'!$M$10:$M$16</c:f>
              <c:numCache>
                <c:formatCode>General</c:formatCode>
                <c:ptCount val="7"/>
                <c:pt idx="0">
                  <c:v>0.20824990265994234</c:v>
                </c:pt>
                <c:pt idx="1">
                  <c:v>0.21841338409458658</c:v>
                </c:pt>
                <c:pt idx="2">
                  <c:v>0.45179944541853606</c:v>
                </c:pt>
                <c:pt idx="3">
                  <c:v>0.70536369319645331</c:v>
                </c:pt>
                <c:pt idx="4">
                  <c:v>0.9500159202475783</c:v>
                </c:pt>
                <c:pt idx="5">
                  <c:v>0.98871312370473863</c:v>
                </c:pt>
                <c:pt idx="6">
                  <c:v>0.9935639999253113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38-734C-8C6C-1CEC5438B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460552"/>
        <c:axId val="2076455032"/>
      </c:scatterChart>
      <c:valAx>
        <c:axId val="20764605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IPTG (µmol/gDW)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455032"/>
        <c:crosses val="autoZero"/>
        <c:crossBetween val="midCat"/>
      </c:valAx>
      <c:valAx>
        <c:axId val="207645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460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Fitting with Experinmental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Model Fitting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'1a'!$A$75:$A$80</c:f>
              <c:numCache>
                <c:formatCode>General</c:formatCode>
                <c:ptCount val="6"/>
                <c:pt idx="0">
                  <c:v>-1.1804560644581312</c:v>
                </c:pt>
                <c:pt idx="1">
                  <c:v>-2.1804560644581312</c:v>
                </c:pt>
                <c:pt idx="2">
                  <c:v>-2.5606673061697371</c:v>
                </c:pt>
                <c:pt idx="3">
                  <c:v>-3.2057619297229016</c:v>
                </c:pt>
                <c:pt idx="4">
                  <c:v>-3.8159398112730436</c:v>
                </c:pt>
                <c:pt idx="5">
                  <c:v>-4.4814860601221129</c:v>
                </c:pt>
              </c:numCache>
            </c:numRef>
          </c:xVal>
          <c:yVal>
            <c:numRef>
              <c:f>'1a'!$C$45:$C$51</c:f>
              <c:numCache>
                <c:formatCode>General</c:formatCode>
                <c:ptCount val="7"/>
                <c:pt idx="0">
                  <c:v>0.20855488471172332</c:v>
                </c:pt>
                <c:pt idx="1">
                  <c:v>0.21855327254437776</c:v>
                </c:pt>
                <c:pt idx="2">
                  <c:v>0.45129933128988819</c:v>
                </c:pt>
                <c:pt idx="3">
                  <c:v>0.70577899323509585</c:v>
                </c:pt>
                <c:pt idx="4">
                  <c:v>0.95117072661164748</c:v>
                </c:pt>
                <c:pt idx="5">
                  <c:v>0.9897288909773615</c:v>
                </c:pt>
                <c:pt idx="6">
                  <c:v>0.99452670489945105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11-E540-9117-464A64ED1586}"/>
            </c:ext>
          </c:extLst>
        </c:ser>
        <c:ser>
          <c:idx val="1"/>
          <c:order val="1"/>
          <c:tx>
            <c:v>Experimental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'1a'!$A$75:$A$80</c:f>
              <c:numCache>
                <c:formatCode>General</c:formatCode>
                <c:ptCount val="6"/>
                <c:pt idx="0">
                  <c:v>-1.1804560644581312</c:v>
                </c:pt>
                <c:pt idx="1">
                  <c:v>-2.1804560644581312</c:v>
                </c:pt>
                <c:pt idx="2">
                  <c:v>-2.5606673061697371</c:v>
                </c:pt>
                <c:pt idx="3">
                  <c:v>-3.2057619297229016</c:v>
                </c:pt>
                <c:pt idx="4">
                  <c:v>-3.8159398112730436</c:v>
                </c:pt>
                <c:pt idx="5">
                  <c:v>-4.4814860601221129</c:v>
                </c:pt>
              </c:numCache>
            </c:numRef>
          </c:xVal>
          <c:yVal>
            <c:numRef>
              <c:f>'1a'!$B$45:$B$51</c:f>
              <c:numCache>
                <c:formatCode>General</c:formatCode>
                <c:ptCount val="7"/>
                <c:pt idx="0">
                  <c:v>0.20430107526881713</c:v>
                </c:pt>
                <c:pt idx="1">
                  <c:v>0.22580645161290319</c:v>
                </c:pt>
                <c:pt idx="2">
                  <c:v>0.44086021505376333</c:v>
                </c:pt>
                <c:pt idx="3">
                  <c:v>0.72043010752688164</c:v>
                </c:pt>
                <c:pt idx="4">
                  <c:v>0.92473118279569855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11-E540-9117-464A64ED1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364352"/>
        <c:axId val="1850867184"/>
      </c:scatterChart>
      <c:valAx>
        <c:axId val="192436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log(IPTG)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867184"/>
        <c:crosses val="autoZero"/>
        <c:crossBetween val="midCat"/>
      </c:valAx>
      <c:valAx>
        <c:axId val="18508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nmol/gDW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36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43</xdr:row>
      <xdr:rowOff>133350</xdr:rowOff>
    </xdr:from>
    <xdr:to>
      <xdr:col>10</xdr:col>
      <xdr:colOff>12700</xdr:colOff>
      <xdr:row>63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DE6D5E-2786-8048-95D2-53D5C2A33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767583</xdr:colOff>
      <xdr:row>67</xdr:row>
      <xdr:rowOff>111649</xdr:rowOff>
    </xdr:from>
    <xdr:to>
      <xdr:col>9</xdr:col>
      <xdr:colOff>1254953</xdr:colOff>
      <xdr:row>88</xdr:row>
      <xdr:rowOff>128745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352376-C6CF-FE49-8A10-2E60CBA1D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uslocke/Downloads/5440-Prelim-1-Submission-master/Prelim%201/Problem%201/Problem%201%20Excell%20Workbo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uslocke/Downloads/CHEME5440-Prelim1Solutions/Question%2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uslocke/Downloads/ChemE7770_Prelim-master/Prelim_TY/Prelim_1cd_2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 Sources"/>
      <sheetName val="Fitting K2"/>
      <sheetName val="Fitting K2 and KD"/>
    </sheetNames>
    <sheetDataSet>
      <sheetData sheetId="0"/>
      <sheetData sheetId="1"/>
      <sheetData sheetId="2">
        <row r="3">
          <cell r="A3">
            <v>0</v>
          </cell>
          <cell r="C3">
            <v>9.5609029518029839E-2</v>
          </cell>
          <cell r="H3">
            <v>8.1304693715194901E-2</v>
          </cell>
        </row>
        <row r="4">
          <cell r="A4">
            <v>5.0000000000000001E-4</v>
          </cell>
          <cell r="C4">
            <v>0.10567313788834878</v>
          </cell>
          <cell r="H4">
            <v>0.10382630200310516</v>
          </cell>
        </row>
        <row r="5">
          <cell r="A5">
            <v>5.0000000000000001E-3</v>
          </cell>
          <cell r="C5">
            <v>0.20631422159153809</v>
          </cell>
          <cell r="H5">
            <v>0.23076849208413575</v>
          </cell>
        </row>
        <row r="6">
          <cell r="A6">
            <v>1.2E-2</v>
          </cell>
          <cell r="C6">
            <v>0.33714763040568424</v>
          </cell>
          <cell r="H6">
            <v>0.31680174510895526</v>
          </cell>
        </row>
        <row r="7">
          <cell r="A7">
            <v>5.2999999999999999E-2</v>
          </cell>
          <cell r="C7">
            <v>0.43275665992371398</v>
          </cell>
          <cell r="H7">
            <v>0.42663912423266415</v>
          </cell>
        </row>
        <row r="8">
          <cell r="A8">
            <v>0.216</v>
          </cell>
          <cell r="C8">
            <v>0.46798103921983042</v>
          </cell>
          <cell r="H8">
            <v>0.46629888674149084</v>
          </cell>
        </row>
        <row r="9">
          <cell r="A9">
            <v>1</v>
          </cell>
          <cell r="C9">
            <v>0.46798103921983042</v>
          </cell>
          <cell r="H9">
            <v>0.47790997839923183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A + U calc"/>
      <sheetName val="Part C and D"/>
      <sheetName val="Part D Sens"/>
    </sheetNames>
    <sheetDataSet>
      <sheetData sheetId="0">
        <row r="9">
          <cell r="L9" t="str">
            <v>u (dimensionless)</v>
          </cell>
          <cell r="M9" t="str">
            <v>u* (model)</v>
          </cell>
        </row>
        <row r="10">
          <cell r="K10">
            <v>0</v>
          </cell>
          <cell r="L10">
            <v>0.20430107526881716</v>
          </cell>
          <cell r="M10">
            <v>0.20824990265994234</v>
          </cell>
        </row>
        <row r="11">
          <cell r="K11">
            <v>1.5151515151515151</v>
          </cell>
          <cell r="L11">
            <v>0.22580645161290319</v>
          </cell>
          <cell r="M11">
            <v>0.21841338409458658</v>
          </cell>
        </row>
        <row r="12">
          <cell r="K12">
            <v>15.151515151515152</v>
          </cell>
          <cell r="L12">
            <v>0.44086021505376333</v>
          </cell>
          <cell r="M12">
            <v>0.45179944541853606</v>
          </cell>
        </row>
        <row r="13">
          <cell r="K13">
            <v>36.363636363636367</v>
          </cell>
          <cell r="L13">
            <v>0.72043010752688175</v>
          </cell>
          <cell r="M13">
            <v>0.70536369319645331</v>
          </cell>
        </row>
        <row r="14">
          <cell r="K14">
            <v>160.60606060606059</v>
          </cell>
          <cell r="L14">
            <v>0.92473118279569877</v>
          </cell>
          <cell r="M14">
            <v>0.9500159202475783</v>
          </cell>
        </row>
        <row r="15">
          <cell r="K15">
            <v>654.5454545454545</v>
          </cell>
          <cell r="L15">
            <v>1</v>
          </cell>
          <cell r="M15">
            <v>0.98871312370473863</v>
          </cell>
        </row>
        <row r="16">
          <cell r="K16">
            <v>3030.3030303030305</v>
          </cell>
          <cell r="L16">
            <v>1</v>
          </cell>
          <cell r="M16">
            <v>0.9935639999253113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c,d"/>
      <sheetName val="2c"/>
    </sheetNames>
    <sheetDataSet>
      <sheetData sheetId="0">
        <row r="3">
          <cell r="B3">
            <v>1.163E-9</v>
          </cell>
          <cell r="E3">
            <v>-3.3010299956639813</v>
          </cell>
          <cell r="G3">
            <v>1.0228458755010783E-9</v>
          </cell>
        </row>
        <row r="4">
          <cell r="B4">
            <v>2.2700000000000002E-9</v>
          </cell>
          <cell r="E4">
            <v>-2.3010299956639813</v>
          </cell>
          <cell r="G4">
            <v>2.388363093042267E-9</v>
          </cell>
        </row>
        <row r="5">
          <cell r="B5">
            <v>3.7100000000000002E-9</v>
          </cell>
          <cell r="E5">
            <v>-1.9208187539523751</v>
          </cell>
          <cell r="G5">
            <v>3.5173714613170727E-9</v>
          </cell>
        </row>
        <row r="6">
          <cell r="B6">
            <v>4.7619999999999999E-9</v>
          </cell>
          <cell r="E6">
            <v>-1.2757241303992111</v>
          </cell>
          <cell r="G6">
            <v>4.847855786633611E-9</v>
          </cell>
        </row>
        <row r="7">
          <cell r="B7">
            <v>5.1500000000000006E-9</v>
          </cell>
          <cell r="E7">
            <v>-0.6655462488490691</v>
          </cell>
          <cell r="G7">
            <v>5.2077844092617107E-9</v>
          </cell>
        </row>
        <row r="8">
          <cell r="B8">
            <v>5.1500000000000006E-9</v>
          </cell>
          <cell r="E8">
            <v>0</v>
          </cell>
          <cell r="G8">
            <v>5.2841921747188976E-9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bionumbers.hms.harvard.edu/bionumber.aspx?s=n&amp;v=2&amp;id=10983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bionumbers.hms.harvard.edu/files/Parameters%20pertaining%20to%20the%20macromolecular%20synthesis%20rates%20in%20exponentially%20growing%20E.%20coli%20Br%20as%20a%20function%20of%20growth%20rate%20at%2037%20degrees%20celsiu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8"/>
  <sheetViews>
    <sheetView tabSelected="1" workbookViewId="0">
      <selection activeCell="O79" sqref="O79"/>
    </sheetView>
  </sheetViews>
  <sheetFormatPr baseColWidth="10" defaultRowHeight="16" x14ac:dyDescent="0.2"/>
  <cols>
    <col min="2" max="2" width="22" bestFit="1" customWidth="1"/>
    <col min="4" max="4" width="22.83203125" customWidth="1"/>
    <col min="5" max="5" width="11.1640625" bestFit="1" customWidth="1"/>
    <col min="7" max="7" width="17" customWidth="1"/>
    <col min="8" max="8" width="12.33203125" customWidth="1"/>
    <col min="9" max="9" width="17.1640625" customWidth="1"/>
    <col min="10" max="10" width="16.6640625" bestFit="1" customWidth="1"/>
    <col min="12" max="12" width="15.6640625" customWidth="1"/>
    <col min="14" max="14" width="12.1640625" bestFit="1" customWidth="1"/>
  </cols>
  <sheetData>
    <row r="1" spans="1:10" x14ac:dyDescent="0.2">
      <c r="A1" t="s">
        <v>38</v>
      </c>
    </row>
    <row r="2" spans="1:10" x14ac:dyDescent="0.2">
      <c r="B2" t="s">
        <v>39</v>
      </c>
      <c r="C2">
        <f>10^8</f>
        <v>100000000</v>
      </c>
    </row>
    <row r="3" spans="1:10" ht="21" x14ac:dyDescent="0.25">
      <c r="B3" t="s">
        <v>40</v>
      </c>
      <c r="C3">
        <v>1</v>
      </c>
      <c r="J3" s="6"/>
    </row>
    <row r="4" spans="1:10" x14ac:dyDescent="0.2">
      <c r="B4" t="s">
        <v>41</v>
      </c>
      <c r="C4">
        <v>0.33</v>
      </c>
      <c r="D4" s="5" t="s">
        <v>42</v>
      </c>
    </row>
    <row r="5" spans="1:10" x14ac:dyDescent="0.2">
      <c r="B5" t="s">
        <v>43</v>
      </c>
      <c r="C5">
        <f>C4/1000*0.1</f>
        <v>3.3000000000000003E-5</v>
      </c>
    </row>
    <row r="6" spans="1:10" x14ac:dyDescent="0.2">
      <c r="B6" t="s">
        <v>44</v>
      </c>
      <c r="C6">
        <f>C5/C2</f>
        <v>3.3000000000000001E-13</v>
      </c>
    </row>
    <row r="7" spans="1:10" x14ac:dyDescent="0.2">
      <c r="B7" t="s">
        <v>35</v>
      </c>
      <c r="C7" s="9">
        <f>C6*C2*C3</f>
        <v>3.3000000000000003E-5</v>
      </c>
    </row>
    <row r="8" spans="1:10" x14ac:dyDescent="0.2">
      <c r="C8" s="9"/>
    </row>
    <row r="9" spans="1:10" x14ac:dyDescent="0.2">
      <c r="A9" s="3" t="s">
        <v>54</v>
      </c>
      <c r="F9" s="3"/>
    </row>
    <row r="10" spans="1:10" x14ac:dyDescent="0.2">
      <c r="B10" t="s">
        <v>0</v>
      </c>
      <c r="C10" t="s">
        <v>45</v>
      </c>
      <c r="D10" t="s">
        <v>1</v>
      </c>
      <c r="E10" t="s">
        <v>2</v>
      </c>
    </row>
    <row r="11" spans="1:10" ht="29" customHeight="1" x14ac:dyDescent="0.2">
      <c r="B11">
        <v>0</v>
      </c>
      <c r="C11">
        <v>19</v>
      </c>
      <c r="D11">
        <v>18</v>
      </c>
      <c r="E11">
        <v>20</v>
      </c>
    </row>
    <row r="12" spans="1:10" ht="32" customHeight="1" x14ac:dyDescent="0.2">
      <c r="B12">
        <f>5*10^-4</f>
        <v>5.0000000000000001E-4</v>
      </c>
      <c r="C12">
        <v>21</v>
      </c>
      <c r="D12">
        <v>17</v>
      </c>
      <c r="E12">
        <v>26</v>
      </c>
    </row>
    <row r="13" spans="1:10" x14ac:dyDescent="0.2">
      <c r="B13">
        <v>5.0000000000000001E-3</v>
      </c>
      <c r="C13">
        <v>41</v>
      </c>
      <c r="D13">
        <v>37</v>
      </c>
      <c r="E13">
        <v>44</v>
      </c>
    </row>
    <row r="14" spans="1:10" x14ac:dyDescent="0.2">
      <c r="B14">
        <v>1.2E-2</v>
      </c>
      <c r="C14">
        <v>67</v>
      </c>
      <c r="D14">
        <v>65</v>
      </c>
      <c r="E14">
        <v>69</v>
      </c>
    </row>
    <row r="15" spans="1:10" x14ac:dyDescent="0.2">
      <c r="B15">
        <v>5.2999999999999999E-2</v>
      </c>
      <c r="C15">
        <v>86</v>
      </c>
      <c r="D15">
        <v>84</v>
      </c>
      <c r="E15">
        <v>88</v>
      </c>
    </row>
    <row r="16" spans="1:10" x14ac:dyDescent="0.2">
      <c r="B16">
        <v>0.216</v>
      </c>
      <c r="C16">
        <v>93</v>
      </c>
      <c r="D16">
        <v>91</v>
      </c>
      <c r="E16">
        <v>95</v>
      </c>
    </row>
    <row r="17" spans="1:5" x14ac:dyDescent="0.2">
      <c r="B17">
        <v>1</v>
      </c>
      <c r="C17">
        <v>93</v>
      </c>
      <c r="D17">
        <v>92</v>
      </c>
      <c r="E17">
        <v>94</v>
      </c>
    </row>
    <row r="20" spans="1:5" x14ac:dyDescent="0.2">
      <c r="B20" t="s">
        <v>46</v>
      </c>
      <c r="C20" t="s">
        <v>46</v>
      </c>
      <c r="D20" t="s">
        <v>47</v>
      </c>
      <c r="E20" t="s">
        <v>48</v>
      </c>
    </row>
    <row r="21" spans="1:5" x14ac:dyDescent="0.2">
      <c r="B21" s="9">
        <f>B11/(6.022*1E+23)*(10^9)</f>
        <v>0</v>
      </c>
      <c r="C21" s="9">
        <f>C11/(6.022*1E+23)*(10^9)</f>
        <v>3.1550979740949851E-14</v>
      </c>
      <c r="D21" s="9">
        <f t="shared" ref="D21:E27" si="0">D11/(6.022*1E+23)*(10^9)</f>
        <v>2.9890401859847226E-14</v>
      </c>
      <c r="E21" s="9">
        <f t="shared" si="0"/>
        <v>3.3211557622052476E-14</v>
      </c>
    </row>
    <row r="22" spans="1:5" x14ac:dyDescent="0.2">
      <c r="B22" s="9">
        <f>B12/(6.022*1E+23)*(10^9)</f>
        <v>8.3028894055131199E-19</v>
      </c>
      <c r="C22" s="9">
        <f>C12/(6.022*1E+23)*(10^9)</f>
        <v>3.4872135503155101E-14</v>
      </c>
      <c r="D22" s="9">
        <f t="shared" si="0"/>
        <v>2.8229823978744604E-14</v>
      </c>
      <c r="E22" s="9">
        <f t="shared" si="0"/>
        <v>4.317502490866822E-14</v>
      </c>
    </row>
    <row r="23" spans="1:5" x14ac:dyDescent="0.2">
      <c r="B23" s="9">
        <f>B13/(6.022*1E+23)*(10^9)</f>
        <v>8.3028894055131193E-18</v>
      </c>
      <c r="C23" s="9">
        <f>C13/(6.022*1E+23)*(10^9)</f>
        <v>6.808369312520757E-14</v>
      </c>
      <c r="D23" s="9">
        <f t="shared" si="0"/>
        <v>6.144138160079707E-14</v>
      </c>
      <c r="E23" s="9">
        <f t="shared" si="0"/>
        <v>7.3065426768515452E-14</v>
      </c>
    </row>
    <row r="24" spans="1:5" x14ac:dyDescent="0.2">
      <c r="B24" s="9">
        <f>B14/(6.022*1E+23)*(10^9)</f>
        <v>1.9926934573231484E-17</v>
      </c>
      <c r="C24" s="9">
        <f>C14/(6.022*1E+23)*(10^9)</f>
        <v>1.1125871803387581E-13</v>
      </c>
      <c r="D24" s="9">
        <f t="shared" si="0"/>
        <v>1.0793756227167055E-13</v>
      </c>
      <c r="E24" s="9">
        <f t="shared" si="0"/>
        <v>1.1457987379608103E-13</v>
      </c>
    </row>
    <row r="25" spans="1:5" x14ac:dyDescent="0.2">
      <c r="B25" s="9">
        <f>B15/(6.022*1E+23)*(10^9)</f>
        <v>8.8010627698439067E-17</v>
      </c>
      <c r="C25" s="9">
        <f>C15/(6.022*1E+23)*(10^9)</f>
        <v>1.4280969777482564E-13</v>
      </c>
      <c r="D25" s="9">
        <f t="shared" si="0"/>
        <v>1.394885420126204E-13</v>
      </c>
      <c r="E25" s="9">
        <f t="shared" si="0"/>
        <v>1.461308535370309E-13</v>
      </c>
    </row>
    <row r="26" spans="1:5" x14ac:dyDescent="0.2">
      <c r="B26" s="9">
        <f>B16/(6.022*1E+23)*(10^9)</f>
        <v>3.5868482231816674E-16</v>
      </c>
      <c r="C26" s="9">
        <f>C16/(6.022*1E+23)*(10^9)</f>
        <v>1.5443374294254403E-13</v>
      </c>
      <c r="D26" s="9">
        <f t="shared" si="0"/>
        <v>1.5111258718033877E-13</v>
      </c>
      <c r="E26" s="9">
        <f t="shared" si="0"/>
        <v>1.5775489870474927E-13</v>
      </c>
    </row>
    <row r="27" spans="1:5" x14ac:dyDescent="0.2">
      <c r="B27" s="9">
        <f>B17/(6.022*1E+23)*(10^9)</f>
        <v>1.6605778811026241E-15</v>
      </c>
      <c r="C27" s="9">
        <f>C17/(6.022*1E+23)*(10^9)</f>
        <v>1.5443374294254403E-13</v>
      </c>
      <c r="D27" s="9">
        <f t="shared" si="0"/>
        <v>1.527731650614414E-13</v>
      </c>
      <c r="E27" s="9">
        <f t="shared" si="0"/>
        <v>1.5609432082364664E-13</v>
      </c>
    </row>
    <row r="29" spans="1:5" x14ac:dyDescent="0.2">
      <c r="A29" s="3" t="s">
        <v>53</v>
      </c>
    </row>
    <row r="31" spans="1:5" x14ac:dyDescent="0.2">
      <c r="B31" t="s">
        <v>49</v>
      </c>
      <c r="C31" t="s">
        <v>50</v>
      </c>
      <c r="D31" t="s">
        <v>51</v>
      </c>
      <c r="E31" t="s">
        <v>52</v>
      </c>
    </row>
    <row r="32" spans="1:5" x14ac:dyDescent="0.2">
      <c r="B32">
        <f>B21*$C$2/$C$7</f>
        <v>0</v>
      </c>
      <c r="C32">
        <f>C21*$C$2/$C$7</f>
        <v>9.5609029518029839E-2</v>
      </c>
      <c r="D32">
        <f t="shared" ref="D32:E38" si="1">D21*$C$2/$C$7</f>
        <v>9.0576975332870374E-2</v>
      </c>
      <c r="E32">
        <f t="shared" si="1"/>
        <v>0.1006410837031893</v>
      </c>
    </row>
    <row r="33" spans="1:5" x14ac:dyDescent="0.2">
      <c r="B33" s="9">
        <f>(B12/$C$7)/1000*10^3</f>
        <v>15.15151515151515</v>
      </c>
      <c r="C33">
        <f>C22*$C$2/$C$7</f>
        <v>0.10567313788834878</v>
      </c>
      <c r="D33">
        <f t="shared" si="1"/>
        <v>8.5544921147710909E-2</v>
      </c>
      <c r="E33">
        <f t="shared" si="1"/>
        <v>0.13083340881414612</v>
      </c>
    </row>
    <row r="34" spans="1:5" x14ac:dyDescent="0.2">
      <c r="B34" s="9">
        <f t="shared" ref="B34:B38" si="2">(B13/$C$7)/1000*10^3</f>
        <v>151.5151515151515</v>
      </c>
      <c r="C34">
        <f>C23*$C$2/$C$7</f>
        <v>0.20631422159153809</v>
      </c>
      <c r="D34">
        <f t="shared" si="1"/>
        <v>0.1861860048509002</v>
      </c>
      <c r="E34">
        <f t="shared" si="1"/>
        <v>0.22141038414701653</v>
      </c>
    </row>
    <row r="35" spans="1:5" x14ac:dyDescent="0.2">
      <c r="B35" s="9">
        <f t="shared" si="2"/>
        <v>363.63636363636363</v>
      </c>
      <c r="C35">
        <f>C24*$C$2/$C$7</f>
        <v>0.33714763040568424</v>
      </c>
      <c r="D35">
        <f t="shared" si="1"/>
        <v>0.32708352203536528</v>
      </c>
      <c r="E35">
        <f t="shared" si="1"/>
        <v>0.34721173877600314</v>
      </c>
    </row>
    <row r="36" spans="1:5" x14ac:dyDescent="0.2">
      <c r="B36" s="9">
        <f t="shared" si="2"/>
        <v>1606.060606060606</v>
      </c>
      <c r="C36">
        <f>C25*$C$2/$C$7</f>
        <v>0.43275665992371398</v>
      </c>
      <c r="D36">
        <f t="shared" si="1"/>
        <v>0.42269255155339513</v>
      </c>
      <c r="E36">
        <f t="shared" si="1"/>
        <v>0.44282076829403305</v>
      </c>
    </row>
    <row r="37" spans="1:5" x14ac:dyDescent="0.2">
      <c r="B37" s="9">
        <f t="shared" si="2"/>
        <v>6545.454545454545</v>
      </c>
      <c r="C37">
        <f>C26*$C$2/$C$7</f>
        <v>0.46798103921983042</v>
      </c>
      <c r="D37">
        <f t="shared" si="1"/>
        <v>0.45791693084951141</v>
      </c>
      <c r="E37">
        <f t="shared" si="1"/>
        <v>0.47804514759014927</v>
      </c>
    </row>
    <row r="38" spans="1:5" x14ac:dyDescent="0.2">
      <c r="B38" s="9">
        <f t="shared" si="2"/>
        <v>30303.0303030303</v>
      </c>
      <c r="C38">
        <f>C27*$C$2/$C$7</f>
        <v>0.46798103921983042</v>
      </c>
      <c r="D38">
        <f t="shared" si="1"/>
        <v>0.46294898503467091</v>
      </c>
      <c r="E38">
        <f t="shared" si="1"/>
        <v>0.47301309340498982</v>
      </c>
    </row>
    <row r="43" spans="1:5" x14ac:dyDescent="0.2">
      <c r="A43" s="3" t="s">
        <v>8</v>
      </c>
    </row>
    <row r="44" spans="1:5" ht="17" x14ac:dyDescent="0.2">
      <c r="A44" s="2" t="s">
        <v>7</v>
      </c>
      <c r="B44" s="2" t="s">
        <v>9</v>
      </c>
      <c r="C44" s="2" t="s">
        <v>11</v>
      </c>
      <c r="D44" s="2" t="s">
        <v>10</v>
      </c>
    </row>
    <row r="45" spans="1:5" x14ac:dyDescent="0.2">
      <c r="A45">
        <f>B32</f>
        <v>0</v>
      </c>
      <c r="B45">
        <f>C32/$C$38</f>
        <v>0.20430107526881713</v>
      </c>
      <c r="C45">
        <f>($A$58+$B$58*(A45^$D$58/($C$58^$D$58+A45^$D$58)))/(1+$A$58+$B$58*(A45^$D$58/($C$58^$D$58+A45^$D$58)))</f>
        <v>0.20855488471172332</v>
      </c>
      <c r="D45">
        <f t="shared" ref="D45:D51" si="3">(B45-C45)^2</f>
        <v>1.8094894776557796E-5</v>
      </c>
    </row>
    <row r="46" spans="1:5" x14ac:dyDescent="0.2">
      <c r="A46">
        <f t="shared" ref="A46:A51" si="4">B33</f>
        <v>15.15151515151515</v>
      </c>
      <c r="B46">
        <f t="shared" ref="B46:B51" si="5">C33/$C$38</f>
        <v>0.22580645161290319</v>
      </c>
      <c r="C46">
        <f>($A$58+$B$58*(A46^$D$58/($C$58^$D$58+A46^$D$58)))/(1+$A$58+$B$58*(A46^$D$58/($C$58^$D$58+A46^$D$58)))</f>
        <v>0.21855327254437776</v>
      </c>
      <c r="D46">
        <f t="shared" si="3"/>
        <v>5.260860660009548E-5</v>
      </c>
    </row>
    <row r="47" spans="1:5" x14ac:dyDescent="0.2">
      <c r="A47">
        <f t="shared" si="4"/>
        <v>151.5151515151515</v>
      </c>
      <c r="B47">
        <f t="shared" si="5"/>
        <v>0.44086021505376333</v>
      </c>
      <c r="C47">
        <f>($A$58+$B$58*(A47^$D$58/($C$58^$D$58+A47^$D$58)))/(1+$A$58+$B$58*(A47^$D$58/($C$58^$D$58+A47^$D$58)))</f>
        <v>0.45129933128988819</v>
      </c>
      <c r="D47">
        <f t="shared" si="3"/>
        <v>1.0897514779132583E-4</v>
      </c>
    </row>
    <row r="48" spans="1:5" x14ac:dyDescent="0.2">
      <c r="A48">
        <f t="shared" si="4"/>
        <v>363.63636363636363</v>
      </c>
      <c r="B48">
        <f t="shared" si="5"/>
        <v>0.72043010752688164</v>
      </c>
      <c r="C48">
        <f>($A$58+$B$58*(A48^$D$58/($C$58^$D$58+A48^$D$58)))/(1+$A$58+$B$58*(A48^$D$58/($C$58^$D$58+A48^$D$58)))</f>
        <v>0.70577899323509585</v>
      </c>
      <c r="D48">
        <f t="shared" si="3"/>
        <v>2.1465514999096963E-4</v>
      </c>
    </row>
    <row r="49" spans="1:4" x14ac:dyDescent="0.2">
      <c r="A49">
        <f t="shared" si="4"/>
        <v>1606.060606060606</v>
      </c>
      <c r="B49">
        <f t="shared" si="5"/>
        <v>0.92473118279569855</v>
      </c>
      <c r="C49">
        <f>($A$58+$B$58*(A49^$D$58/($C$58^$D$58+A49^$D$58)))/(1+$A$58+$B$58*(A49^$D$58/($C$58^$D$58+A49^$D$58)))</f>
        <v>0.95117072661164748</v>
      </c>
      <c r="D49">
        <f t="shared" si="3"/>
        <v>6.990494771954833E-4</v>
      </c>
    </row>
    <row r="50" spans="1:4" x14ac:dyDescent="0.2">
      <c r="A50">
        <f t="shared" si="4"/>
        <v>6545.454545454545</v>
      </c>
      <c r="B50">
        <f t="shared" si="5"/>
        <v>1</v>
      </c>
      <c r="C50">
        <f>($A$58+$B$58*(A50^$D$58/($C$58^$D$58+A50^$D$58)))/(1+$A$58+$B$58*(A50^$D$58/($C$58^$D$58+A50^$D$58)))</f>
        <v>0.9897288909773615</v>
      </c>
      <c r="D50">
        <f t="shared" si="3"/>
        <v>1.0549568055492606E-4</v>
      </c>
    </row>
    <row r="51" spans="1:4" x14ac:dyDescent="0.2">
      <c r="A51">
        <f t="shared" si="4"/>
        <v>30303.0303030303</v>
      </c>
      <c r="B51">
        <f t="shared" si="5"/>
        <v>1</v>
      </c>
      <c r="C51">
        <f>($A$58+$B$58*(A51^$D$58/($C$58^$D$58+A51^$D$58)))/(1+$A$58+$B$58*(A51^$D$58/($C$58^$D$58+A51^$D$58)))</f>
        <v>0.99452670489945105</v>
      </c>
      <c r="D51">
        <f t="shared" si="3"/>
        <v>2.9956959257693111E-5</v>
      </c>
    </row>
    <row r="52" spans="1:4" x14ac:dyDescent="0.2">
      <c r="D52">
        <f>SUM(D45:D51)</f>
        <v>1.2288359161670512E-3</v>
      </c>
    </row>
    <row r="53" spans="1:4" x14ac:dyDescent="0.2">
      <c r="D53">
        <f>D52*10</f>
        <v>1.2288359161670512E-2</v>
      </c>
    </row>
    <row r="57" spans="1:4" ht="17" thickBot="1" x14ac:dyDescent="0.25">
      <c r="A57" t="s">
        <v>3</v>
      </c>
      <c r="B57" t="s">
        <v>4</v>
      </c>
      <c r="C57" t="s">
        <v>6</v>
      </c>
      <c r="D57" t="s">
        <v>5</v>
      </c>
    </row>
    <row r="58" spans="1:4" ht="17" thickBot="1" x14ac:dyDescent="0.25">
      <c r="A58" s="11">
        <v>0.26351149395338563</v>
      </c>
      <c r="B58" s="12">
        <v>199.95856783148108</v>
      </c>
      <c r="C58" s="12">
        <v>6884.1912588370042</v>
      </c>
      <c r="D58" s="12">
        <v>1.539963850366117</v>
      </c>
    </row>
    <row r="59" spans="1:4" x14ac:dyDescent="0.2">
      <c r="A59" s="5"/>
    </row>
    <row r="72" spans="1:1" x14ac:dyDescent="0.2">
      <c r="A72" t="s">
        <v>77</v>
      </c>
    </row>
    <row r="73" spans="1:1" x14ac:dyDescent="0.2">
      <c r="A73" t="s">
        <v>78</v>
      </c>
    </row>
    <row r="75" spans="1:1" x14ac:dyDescent="0.2">
      <c r="A75">
        <f>-LOG(A46)</f>
        <v>-1.1804560644581312</v>
      </c>
    </row>
    <row r="76" spans="1:1" x14ac:dyDescent="0.2">
      <c r="A76">
        <f t="shared" ref="A76:A80" si="6">-LOG(A47)</f>
        <v>-2.1804560644581312</v>
      </c>
    </row>
    <row r="77" spans="1:1" x14ac:dyDescent="0.2">
      <c r="A77">
        <f t="shared" si="6"/>
        <v>-2.5606673061697371</v>
      </c>
    </row>
    <row r="78" spans="1:1" x14ac:dyDescent="0.2">
      <c r="A78">
        <f t="shared" si="6"/>
        <v>-3.2057619297229016</v>
      </c>
    </row>
    <row r="79" spans="1:1" x14ac:dyDescent="0.2">
      <c r="A79">
        <f t="shared" si="6"/>
        <v>-3.8159398112730436</v>
      </c>
    </row>
    <row r="80" spans="1:1" x14ac:dyDescent="0.2">
      <c r="A80">
        <f t="shared" si="6"/>
        <v>-4.4814860601221129</v>
      </c>
    </row>
    <row r="94" spans="1:6" x14ac:dyDescent="0.2">
      <c r="A94" s="3"/>
    </row>
    <row r="95" spans="1:6" x14ac:dyDescent="0.2">
      <c r="B95" s="1"/>
      <c r="F95" s="5"/>
    </row>
    <row r="96" spans="1:6" x14ac:dyDescent="0.2">
      <c r="A96" s="4"/>
      <c r="B96" s="1"/>
    </row>
    <row r="97" spans="1:5" x14ac:dyDescent="0.2">
      <c r="A97" s="4"/>
    </row>
    <row r="98" spans="1:5" x14ac:dyDescent="0.2">
      <c r="A98" s="4"/>
    </row>
    <row r="99" spans="1:5" x14ac:dyDescent="0.2">
      <c r="A99" s="4"/>
      <c r="B99" s="1"/>
    </row>
    <row r="100" spans="1:5" x14ac:dyDescent="0.2">
      <c r="A100" s="4"/>
      <c r="B100" s="1"/>
    </row>
    <row r="101" spans="1:5" x14ac:dyDescent="0.2">
      <c r="A101" s="4"/>
      <c r="B101" s="1"/>
    </row>
    <row r="102" spans="1:5" x14ac:dyDescent="0.2">
      <c r="A102" s="4"/>
      <c r="B102" s="1"/>
    </row>
    <row r="103" spans="1:5" x14ac:dyDescent="0.2">
      <c r="A103" s="4"/>
      <c r="B103" s="1"/>
      <c r="C103" s="8"/>
      <c r="E103" s="5"/>
    </row>
    <row r="104" spans="1:5" x14ac:dyDescent="0.2">
      <c r="A104" s="4"/>
      <c r="B104" s="1"/>
      <c r="C104" s="8"/>
    </row>
    <row r="106" spans="1:5" x14ac:dyDescent="0.2">
      <c r="C106" s="10"/>
    </row>
    <row r="107" spans="1:5" x14ac:dyDescent="0.2">
      <c r="A107" s="4"/>
      <c r="B107" s="1"/>
      <c r="C107" s="9"/>
    </row>
    <row r="108" spans="1:5" x14ac:dyDescent="0.2">
      <c r="A108" s="4"/>
      <c r="B108" s="1"/>
      <c r="C108" s="8"/>
    </row>
    <row r="109" spans="1:5" x14ac:dyDescent="0.2">
      <c r="A109" s="4"/>
      <c r="B109" s="1"/>
    </row>
    <row r="114" spans="1:7" x14ac:dyDescent="0.2">
      <c r="C114" s="9"/>
    </row>
    <row r="116" spans="1:7" x14ac:dyDescent="0.2">
      <c r="E116" s="7"/>
      <c r="F116" s="7"/>
      <c r="G116" s="7"/>
    </row>
    <row r="117" spans="1:7" x14ac:dyDescent="0.2">
      <c r="F117" s="9"/>
      <c r="G117" s="9"/>
    </row>
    <row r="120" spans="1:7" x14ac:dyDescent="0.2">
      <c r="B120" s="9"/>
    </row>
    <row r="122" spans="1:7" x14ac:dyDescent="0.2">
      <c r="B122" s="8"/>
    </row>
    <row r="123" spans="1:7" x14ac:dyDescent="0.2">
      <c r="B123" s="8"/>
    </row>
    <row r="128" spans="1:7" x14ac:dyDescent="0.2">
      <c r="A128" s="2"/>
    </row>
  </sheetData>
  <hyperlinks>
    <hyperlink ref="D4" r:id="rId1" xr:uid="{94F0DDAE-823E-2F41-BAA0-0A9C33EED96E}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5"/>
  <sheetViews>
    <sheetView zoomScale="85" zoomScaleNormal="75" zoomScalePageLayoutView="75" workbookViewId="0">
      <selection activeCell="F29" sqref="F29"/>
    </sheetView>
  </sheetViews>
  <sheetFormatPr baseColWidth="10" defaultRowHeight="16" x14ac:dyDescent="0.2"/>
  <cols>
    <col min="2" max="2" width="20.6640625" customWidth="1"/>
    <col min="3" max="3" width="13.6640625" bestFit="1" customWidth="1"/>
    <col min="4" max="4" width="15" bestFit="1" customWidth="1"/>
    <col min="5" max="5" width="22.83203125" customWidth="1"/>
    <col min="6" max="6" width="16.5" customWidth="1"/>
    <col min="7" max="7" width="20.5" customWidth="1"/>
  </cols>
  <sheetData>
    <row r="1" spans="1:9" x14ac:dyDescent="0.2">
      <c r="A1" s="3" t="s">
        <v>76</v>
      </c>
    </row>
    <row r="2" spans="1:9" x14ac:dyDescent="0.2">
      <c r="A2" t="s">
        <v>58</v>
      </c>
      <c r="B2">
        <v>25</v>
      </c>
      <c r="C2" t="s">
        <v>27</v>
      </c>
      <c r="D2" t="s">
        <v>56</v>
      </c>
      <c r="E2" s="5"/>
    </row>
    <row r="3" spans="1:9" x14ac:dyDescent="0.2">
      <c r="A3" s="4" t="s">
        <v>12</v>
      </c>
      <c r="B3">
        <v>1000</v>
      </c>
      <c r="C3" t="s">
        <v>20</v>
      </c>
      <c r="D3" t="s">
        <v>57</v>
      </c>
    </row>
    <row r="4" spans="1:9" x14ac:dyDescent="0.2">
      <c r="A4" s="4" t="s">
        <v>55</v>
      </c>
      <c r="B4">
        <f>B2/B3</f>
        <v>2.5000000000000001E-2</v>
      </c>
      <c r="C4" t="s">
        <v>37</v>
      </c>
      <c r="D4" t="s">
        <v>59</v>
      </c>
    </row>
    <row r="5" spans="1:9" x14ac:dyDescent="0.2">
      <c r="A5" s="4"/>
      <c r="B5">
        <f>B4*60</f>
        <v>1.5</v>
      </c>
      <c r="C5" t="s">
        <v>21</v>
      </c>
    </row>
    <row r="6" spans="1:9" x14ac:dyDescent="0.2">
      <c r="A6" s="4" t="s">
        <v>14</v>
      </c>
      <c r="B6">
        <v>40</v>
      </c>
      <c r="C6" t="s">
        <v>19</v>
      </c>
      <c r="D6" t="s">
        <v>57</v>
      </c>
    </row>
    <row r="7" spans="1:9" x14ac:dyDescent="0.2">
      <c r="A7" s="4" t="s">
        <v>13</v>
      </c>
      <c r="B7">
        <f>(1/B6)*LOG(2)</f>
        <v>7.5257498915995303E-3</v>
      </c>
      <c r="C7" t="s">
        <v>21</v>
      </c>
      <c r="D7" t="s">
        <v>23</v>
      </c>
    </row>
    <row r="8" spans="1:9" x14ac:dyDescent="0.2">
      <c r="A8" s="4" t="s">
        <v>15</v>
      </c>
      <c r="B8">
        <v>5</v>
      </c>
      <c r="C8" t="s">
        <v>19</v>
      </c>
      <c r="D8" t="s">
        <v>22</v>
      </c>
    </row>
    <row r="9" spans="1:9" x14ac:dyDescent="0.2">
      <c r="A9" s="4" t="s">
        <v>16</v>
      </c>
      <c r="B9">
        <f>-(1/B8)*LOG(0.5)</f>
        <v>6.0205999132796242E-2</v>
      </c>
      <c r="C9" t="s">
        <v>21</v>
      </c>
      <c r="D9" t="s">
        <v>23</v>
      </c>
    </row>
    <row r="10" spans="1:9" x14ac:dyDescent="0.2">
      <c r="A10" s="4" t="s">
        <v>17</v>
      </c>
      <c r="B10" s="8">
        <v>5000</v>
      </c>
      <c r="C10" t="s">
        <v>74</v>
      </c>
      <c r="D10" s="5" t="s">
        <v>75</v>
      </c>
    </row>
    <row r="11" spans="1:9" x14ac:dyDescent="0.2">
      <c r="A11" s="4" t="s">
        <v>70</v>
      </c>
      <c r="B11" s="8">
        <v>1.3599999999999999E-2</v>
      </c>
      <c r="C11" t="s">
        <v>28</v>
      </c>
      <c r="D11" t="s">
        <v>61</v>
      </c>
      <c r="I11" s="3"/>
    </row>
    <row r="12" spans="1:9" x14ac:dyDescent="0.2">
      <c r="B12">
        <f>B11*10^3</f>
        <v>13.6</v>
      </c>
      <c r="C12" t="s">
        <v>26</v>
      </c>
    </row>
    <row r="13" spans="1:9" x14ac:dyDescent="0.2">
      <c r="A13" t="s">
        <v>71</v>
      </c>
      <c r="B13" s="10">
        <v>0.04</v>
      </c>
      <c r="C13" t="s">
        <v>72</v>
      </c>
      <c r="D13" t="s">
        <v>61</v>
      </c>
    </row>
    <row r="14" spans="1:9" x14ac:dyDescent="0.2">
      <c r="A14" s="4" t="s">
        <v>60</v>
      </c>
      <c r="B14" s="9">
        <f>B4/B13</f>
        <v>0.625</v>
      </c>
    </row>
    <row r="15" spans="1:9" x14ac:dyDescent="0.2">
      <c r="A15" s="4"/>
      <c r="B15" s="8">
        <f>B14/60</f>
        <v>1.0416666666666666E-2</v>
      </c>
      <c r="C15" t="s">
        <v>19</v>
      </c>
    </row>
    <row r="16" spans="1:9" x14ac:dyDescent="0.2">
      <c r="A16" s="4" t="s">
        <v>24</v>
      </c>
      <c r="B16">
        <v>2</v>
      </c>
      <c r="C16" t="s">
        <v>25</v>
      </c>
      <c r="D16" t="s">
        <v>57</v>
      </c>
    </row>
    <row r="17" spans="1:7" x14ac:dyDescent="0.2">
      <c r="B17">
        <f>(B16/B22)*10^9/B19</f>
        <v>1.0064108370318934E-2</v>
      </c>
      <c r="C17" t="s">
        <v>34</v>
      </c>
    </row>
    <row r="18" spans="1:7" x14ac:dyDescent="0.2">
      <c r="A18" t="s">
        <v>66</v>
      </c>
      <c r="B18">
        <f>'1a'!C3</f>
        <v>1</v>
      </c>
      <c r="C18" t="s">
        <v>63</v>
      </c>
      <c r="D18" t="s">
        <v>57</v>
      </c>
    </row>
    <row r="19" spans="1:7" x14ac:dyDescent="0.2">
      <c r="A19" t="s">
        <v>67</v>
      </c>
      <c r="B19">
        <f>'1a'!C6</f>
        <v>3.3000000000000001E-13</v>
      </c>
      <c r="C19" t="s">
        <v>64</v>
      </c>
      <c r="D19" t="s">
        <v>23</v>
      </c>
    </row>
    <row r="20" spans="1:7" x14ac:dyDescent="0.2">
      <c r="A20" t="s">
        <v>68</v>
      </c>
      <c r="B20">
        <f>'1a'!C2</f>
        <v>100000000</v>
      </c>
      <c r="C20" t="s">
        <v>65</v>
      </c>
      <c r="D20" t="s">
        <v>57</v>
      </c>
    </row>
    <row r="21" spans="1:7" x14ac:dyDescent="0.2">
      <c r="A21" t="s">
        <v>69</v>
      </c>
      <c r="B21" s="9">
        <f>'1a'!C7</f>
        <v>3.3000000000000003E-5</v>
      </c>
      <c r="C21" t="s">
        <v>64</v>
      </c>
      <c r="D21" t="s">
        <v>23</v>
      </c>
    </row>
    <row r="22" spans="1:7" x14ac:dyDescent="0.2">
      <c r="A22" t="s">
        <v>73</v>
      </c>
      <c r="B22">
        <f>6.022*10^23</f>
        <v>6.0219999999999996E+23</v>
      </c>
      <c r="C22" t="s">
        <v>32</v>
      </c>
    </row>
    <row r="28" spans="1:7" x14ac:dyDescent="0.2">
      <c r="E28" s="7" t="s">
        <v>36</v>
      </c>
      <c r="F28" s="7" t="s">
        <v>33</v>
      </c>
      <c r="G28" s="7" t="s">
        <v>18</v>
      </c>
    </row>
    <row r="29" spans="1:7" x14ac:dyDescent="0.2">
      <c r="A29" t="s">
        <v>13</v>
      </c>
      <c r="B29">
        <f>B7</f>
        <v>7.5257498915995303E-3</v>
      </c>
      <c r="C29" t="s">
        <v>21</v>
      </c>
      <c r="E29">
        <f>1/(B29+B30)</f>
        <v>14.764124866166055</v>
      </c>
      <c r="F29" s="9">
        <f>(B31*B32*B33)/(B34*B35+(1+B35)*B33)</f>
        <v>8.826745731229424E-2</v>
      </c>
      <c r="G29" s="9">
        <f>(1/(B29+B30))*((B31*B32*B33)/(B34*B35+(1+B35)*B33))</f>
        <v>1.3031917613776942</v>
      </c>
    </row>
    <row r="30" spans="1:7" x14ac:dyDescent="0.2">
      <c r="A30" t="s">
        <v>16</v>
      </c>
      <c r="B30">
        <f>B9</f>
        <v>6.0205999132796242E-2</v>
      </c>
      <c r="C30" t="s">
        <v>31</v>
      </c>
    </row>
    <row r="31" spans="1:7" x14ac:dyDescent="0.2">
      <c r="A31" t="s">
        <v>62</v>
      </c>
      <c r="B31">
        <f>B5</f>
        <v>1.5</v>
      </c>
      <c r="C31" t="s">
        <v>19</v>
      </c>
    </row>
    <row r="32" spans="1:7" x14ac:dyDescent="0.2">
      <c r="A32" t="s">
        <v>29</v>
      </c>
      <c r="B32" s="9">
        <f>(B10/B22*10^9)/B19</f>
        <v>25.160270925797331</v>
      </c>
      <c r="C32" t="s">
        <v>34</v>
      </c>
    </row>
    <row r="33" spans="1:3" x14ac:dyDescent="0.2">
      <c r="A33" t="s">
        <v>24</v>
      </c>
      <c r="B33">
        <f>B17</f>
        <v>1.0064108370318934E-2</v>
      </c>
      <c r="C33" t="s">
        <v>34</v>
      </c>
    </row>
    <row r="34" spans="1:3" x14ac:dyDescent="0.2">
      <c r="A34" t="s">
        <v>18</v>
      </c>
      <c r="B34" s="8">
        <f>(B12/B21)/1000</f>
        <v>412.12121212121212</v>
      </c>
      <c r="C34" t="s">
        <v>34</v>
      </c>
    </row>
    <row r="35" spans="1:3" x14ac:dyDescent="0.2">
      <c r="A35" t="s">
        <v>30</v>
      </c>
      <c r="B35" s="8">
        <f>B15</f>
        <v>1.0416666666666666E-2</v>
      </c>
      <c r="C35" t="s">
        <v>19</v>
      </c>
    </row>
  </sheetData>
  <hyperlinks>
    <hyperlink ref="D10" r:id="rId1" display="https://bionumbers.hms.harvard.edu/files/Parameters pertaining to the macromolecular synthesis rates in exponentially growing E. coli Br as a function of growth rate at 37 degrees celsius.pdf" xr:uid="{EC7DAE85-7913-A64C-B6A7-D7D2D80312B6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1a</vt:lpstr>
      <vt:lpstr>Part C solving for Kx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Alexus Locke</dc:creator>
  <cp:keywords/>
  <dc:description/>
  <cp:lastModifiedBy>Alexus Locke</cp:lastModifiedBy>
  <dcterms:created xsi:type="dcterms:W3CDTF">2020-05-07T19:57:15Z</dcterms:created>
  <dcterms:modified xsi:type="dcterms:W3CDTF">2020-05-12T15:52:24Z</dcterms:modified>
  <cp:category/>
</cp:coreProperties>
</file>